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5" windowWidth="18315" windowHeight="8505"/>
  </bookViews>
  <sheets>
    <sheet name="Sheet1" sheetId="7" r:id="rId1"/>
  </sheets>
  <definedNames>
    <definedName name="_xlnm.Print_Area" localSheetId="0">Sheet1!$A$1:$K$32</definedName>
  </definedNames>
  <calcPr calcId="125725"/>
</workbook>
</file>

<file path=xl/calcChain.xml><?xml version="1.0" encoding="utf-8"?>
<calcChain xmlns="http://schemas.openxmlformats.org/spreadsheetml/2006/main">
  <c r="P90" i="7"/>
  <c r="N90"/>
  <c r="H74"/>
  <c r="H75"/>
  <c r="H76"/>
  <c r="H77"/>
  <c r="H78"/>
  <c r="H79"/>
  <c r="N58"/>
  <c r="P58"/>
  <c r="H42"/>
  <c r="H43"/>
  <c r="H44"/>
  <c r="H45"/>
  <c r="H46"/>
  <c r="H47"/>
  <c r="H69"/>
  <c r="N75" s="1"/>
  <c r="H37"/>
  <c r="H58" s="1"/>
  <c r="H26" s="1"/>
  <c r="N74"/>
  <c r="D39"/>
  <c r="D38"/>
  <c r="D37"/>
  <c r="D45" s="1"/>
  <c r="J15"/>
  <c r="J14"/>
  <c r="J13"/>
  <c r="J12"/>
  <c r="J11"/>
  <c r="J10"/>
  <c r="J9"/>
  <c r="J6"/>
  <c r="D40" l="1"/>
  <c r="N72"/>
  <c r="H63"/>
  <c r="D53"/>
  <c r="D55" s="1"/>
  <c r="N76"/>
  <c r="H95"/>
  <c r="N73"/>
  <c r="N40"/>
  <c r="N41"/>
  <c r="N42"/>
  <c r="N43"/>
  <c r="N44"/>
  <c r="N71"/>
  <c r="H92"/>
  <c r="I29" s="1"/>
  <c r="H94"/>
  <c r="H90"/>
  <c r="I26" s="1"/>
  <c r="J26" s="1"/>
  <c r="H93"/>
  <c r="I30" s="1"/>
  <c r="N39"/>
  <c r="H60"/>
  <c r="H62"/>
  <c r="H61"/>
  <c r="H30" s="1"/>
  <c r="J30" s="1"/>
  <c r="D41"/>
  <c r="D42" s="1"/>
  <c r="D48" s="1"/>
  <c r="D56" l="1"/>
  <c r="N77"/>
  <c r="H71" s="1"/>
  <c r="D54"/>
  <c r="I31"/>
  <c r="H64"/>
  <c r="H29"/>
  <c r="D44"/>
  <c r="H96"/>
  <c r="N45"/>
  <c r="H39" s="1"/>
  <c r="H57" s="1"/>
  <c r="H25" s="1"/>
  <c r="H89"/>
  <c r="I25" s="1"/>
  <c r="D57"/>
  <c r="D49" s="1"/>
  <c r="D47" l="1"/>
  <c r="D51"/>
  <c r="D9" s="1"/>
  <c r="H8"/>
  <c r="H27"/>
  <c r="H31"/>
  <c r="J31" s="1"/>
  <c r="J29"/>
  <c r="I8"/>
  <c r="I27"/>
  <c r="J27" s="1"/>
  <c r="J25"/>
  <c r="H41" l="1"/>
  <c r="H49" s="1"/>
  <c r="H51" s="1"/>
  <c r="H16"/>
  <c r="H73"/>
  <c r="H81" s="1"/>
  <c r="H83" s="1"/>
  <c r="I16"/>
  <c r="J8"/>
  <c r="J16" l="1"/>
  <c r="H54"/>
  <c r="H19" s="1"/>
  <c r="N54"/>
  <c r="N52"/>
  <c r="N51"/>
  <c r="N53"/>
  <c r="N49"/>
  <c r="N50"/>
  <c r="N85"/>
  <c r="N81"/>
  <c r="N83"/>
  <c r="N86"/>
  <c r="N84"/>
  <c r="H86"/>
  <c r="I19" s="1"/>
  <c r="J19" s="1"/>
  <c r="N82"/>
  <c r="N55" l="1"/>
  <c r="H53" s="1"/>
  <c r="N87"/>
  <c r="H85" s="1"/>
  <c r="H55" l="1"/>
  <c r="H18"/>
  <c r="H20" s="1"/>
  <c r="I18"/>
  <c r="H87"/>
  <c r="I20" l="1"/>
  <c r="J20" s="1"/>
  <c r="J18"/>
</calcChain>
</file>

<file path=xl/sharedStrings.xml><?xml version="1.0" encoding="utf-8"?>
<sst xmlns="http://schemas.openxmlformats.org/spreadsheetml/2006/main" count="167" uniqueCount="76">
  <si>
    <t>法人</t>
    <rPh sb="0" eb="2">
      <t>ホウジン</t>
    </rPh>
    <phoneticPr fontId="2"/>
  </si>
  <si>
    <t>控除</t>
    <rPh sb="0" eb="2">
      <t>コウジョ</t>
    </rPh>
    <phoneticPr fontId="2"/>
  </si>
  <si>
    <t>社会保険料</t>
    <rPh sb="0" eb="2">
      <t>シャカイ</t>
    </rPh>
    <rPh sb="2" eb="4">
      <t>ホケン</t>
    </rPh>
    <rPh sb="4" eb="5">
      <t>リョウ</t>
    </rPh>
    <phoneticPr fontId="2"/>
  </si>
  <si>
    <t>小規模企業共済掛け金</t>
    <rPh sb="0" eb="3">
      <t>ショウキボ</t>
    </rPh>
    <rPh sb="3" eb="5">
      <t>キギョウ</t>
    </rPh>
    <rPh sb="5" eb="7">
      <t>キョウサイ</t>
    </rPh>
    <rPh sb="7" eb="8">
      <t>カ</t>
    </rPh>
    <rPh sb="9" eb="10">
      <t>キン</t>
    </rPh>
    <phoneticPr fontId="2"/>
  </si>
  <si>
    <t>生命保険料控除</t>
    <rPh sb="0" eb="2">
      <t>セイメイ</t>
    </rPh>
    <rPh sb="2" eb="4">
      <t>ホケン</t>
    </rPh>
    <rPh sb="4" eb="5">
      <t>リョウ</t>
    </rPh>
    <rPh sb="5" eb="7">
      <t>コウジョ</t>
    </rPh>
    <phoneticPr fontId="2"/>
  </si>
  <si>
    <t>地震保険料控除</t>
    <rPh sb="0" eb="2">
      <t>ジシン</t>
    </rPh>
    <rPh sb="2" eb="4">
      <t>ホケン</t>
    </rPh>
    <rPh sb="4" eb="5">
      <t>リョウ</t>
    </rPh>
    <rPh sb="5" eb="7">
      <t>コウジョ</t>
    </rPh>
    <phoneticPr fontId="2"/>
  </si>
  <si>
    <t>配偶者控除</t>
    <rPh sb="0" eb="3">
      <t>ハイグウシャ</t>
    </rPh>
    <rPh sb="3" eb="5">
      <t>コウジョ</t>
    </rPh>
    <phoneticPr fontId="2"/>
  </si>
  <si>
    <t>配偶者特別控除</t>
    <rPh sb="0" eb="3">
      <t>ハイグウシャ</t>
    </rPh>
    <rPh sb="3" eb="5">
      <t>トクベツ</t>
    </rPh>
    <rPh sb="5" eb="7">
      <t>コウジョ</t>
    </rPh>
    <phoneticPr fontId="2"/>
  </si>
  <si>
    <t>扶養控除</t>
    <rPh sb="0" eb="2">
      <t>フヨウ</t>
    </rPh>
    <rPh sb="2" eb="4">
      <t>コウジョ</t>
    </rPh>
    <phoneticPr fontId="2"/>
  </si>
  <si>
    <t>基礎控除</t>
    <rPh sb="0" eb="2">
      <t>キソ</t>
    </rPh>
    <rPh sb="2" eb="4">
      <t>コウジョ</t>
    </rPh>
    <phoneticPr fontId="2"/>
  </si>
  <si>
    <t>所得税</t>
    <rPh sb="0" eb="3">
      <t>ショトクゼイ</t>
    </rPh>
    <phoneticPr fontId="2"/>
  </si>
  <si>
    <t>住民税</t>
    <rPh sb="0" eb="3">
      <t>ジュウミンゼイ</t>
    </rPh>
    <phoneticPr fontId="2"/>
  </si>
  <si>
    <t>健康保険料</t>
    <rPh sb="0" eb="2">
      <t>ケンコウ</t>
    </rPh>
    <rPh sb="2" eb="5">
      <t>ホケンリョウ</t>
    </rPh>
    <phoneticPr fontId="2"/>
  </si>
  <si>
    <t>厚生年金</t>
    <rPh sb="0" eb="2">
      <t>コウセイ</t>
    </rPh>
    <rPh sb="2" eb="4">
      <t>ネンキン</t>
    </rPh>
    <phoneticPr fontId="2"/>
  </si>
  <si>
    <t>控除合計</t>
    <rPh sb="0" eb="2">
      <t>コウジョ</t>
    </rPh>
    <rPh sb="2" eb="4">
      <t>ゴウケイ</t>
    </rPh>
    <phoneticPr fontId="2"/>
  </si>
  <si>
    <t>税率</t>
    <rPh sb="0" eb="2">
      <t>ゼイリツ</t>
    </rPh>
    <phoneticPr fontId="2"/>
  </si>
  <si>
    <t>率</t>
    <rPh sb="0" eb="1">
      <t>リツ</t>
    </rPh>
    <phoneticPr fontId="2"/>
  </si>
  <si>
    <t>給与所得控除</t>
    <rPh sb="0" eb="2">
      <t>キュウヨ</t>
    </rPh>
    <rPh sb="2" eb="4">
      <t>ショトク</t>
    </rPh>
    <rPh sb="4" eb="6">
      <t>コウジョ</t>
    </rPh>
    <phoneticPr fontId="2"/>
  </si>
  <si>
    <t>所得税額</t>
    <rPh sb="0" eb="3">
      <t>ショトクゼイ</t>
    </rPh>
    <rPh sb="3" eb="4">
      <t>ガク</t>
    </rPh>
    <phoneticPr fontId="2"/>
  </si>
  <si>
    <t>所得税額速算表</t>
    <rPh sb="0" eb="3">
      <t>ショトクゼイ</t>
    </rPh>
    <rPh sb="3" eb="4">
      <t>ガク</t>
    </rPh>
    <rPh sb="4" eb="5">
      <t>ソク</t>
    </rPh>
    <rPh sb="5" eb="6">
      <t>サン</t>
    </rPh>
    <rPh sb="6" eb="7">
      <t>ヒョウ</t>
    </rPh>
    <phoneticPr fontId="2"/>
  </si>
  <si>
    <t>超</t>
    <rPh sb="0" eb="1">
      <t>チョウ</t>
    </rPh>
    <phoneticPr fontId="2"/>
  </si>
  <si>
    <t>以下</t>
    <rPh sb="0" eb="2">
      <t>イカ</t>
    </rPh>
    <phoneticPr fontId="2"/>
  </si>
  <si>
    <t>控除額</t>
    <rPh sb="0" eb="2">
      <t>コウジョ</t>
    </rPh>
    <rPh sb="2" eb="3">
      <t>ガク</t>
    </rPh>
    <phoneticPr fontId="2"/>
  </si>
  <si>
    <t>課税所得金額</t>
    <rPh sb="0" eb="2">
      <t>カゼイ</t>
    </rPh>
    <rPh sb="2" eb="4">
      <t>ショトク</t>
    </rPh>
    <rPh sb="4" eb="6">
      <t>キンガク</t>
    </rPh>
    <phoneticPr fontId="2"/>
  </si>
  <si>
    <t>給与</t>
    <rPh sb="0" eb="2">
      <t>キュウヨ</t>
    </rPh>
    <phoneticPr fontId="2"/>
  </si>
  <si>
    <t>給与所得金額</t>
    <rPh sb="0" eb="2">
      <t>キュウヨ</t>
    </rPh>
    <rPh sb="2" eb="4">
      <t>ショトク</t>
    </rPh>
    <rPh sb="4" eb="6">
      <t>キンガク</t>
    </rPh>
    <phoneticPr fontId="2"/>
  </si>
  <si>
    <t>給与所得控除額</t>
    <rPh sb="0" eb="2">
      <t>キュウヨ</t>
    </rPh>
    <rPh sb="2" eb="4">
      <t>ショトク</t>
    </rPh>
    <rPh sb="4" eb="6">
      <t>コウジョ</t>
    </rPh>
    <rPh sb="6" eb="7">
      <t>ガク</t>
    </rPh>
    <phoneticPr fontId="2"/>
  </si>
  <si>
    <t>計</t>
    <rPh sb="0" eb="1">
      <t>ケイ</t>
    </rPh>
    <phoneticPr fontId="2"/>
  </si>
  <si>
    <t>社会保険
概算会社</t>
    <rPh sb="0" eb="2">
      <t>シャカイ</t>
    </rPh>
    <rPh sb="2" eb="4">
      <t>ホケン</t>
    </rPh>
    <rPh sb="5" eb="7">
      <t>ガイサン</t>
    </rPh>
    <rPh sb="7" eb="9">
      <t>カイシャ</t>
    </rPh>
    <phoneticPr fontId="2"/>
  </si>
  <si>
    <t>社会保険
概算個人</t>
    <rPh sb="0" eb="2">
      <t>シャカイ</t>
    </rPh>
    <rPh sb="2" eb="4">
      <t>ホケン</t>
    </rPh>
    <rPh sb="5" eb="7">
      <t>ガイサン</t>
    </rPh>
    <rPh sb="7" eb="9">
      <t>コジン</t>
    </rPh>
    <phoneticPr fontId="2"/>
  </si>
  <si>
    <t>保険料率</t>
    <rPh sb="0" eb="2">
      <t>ホケン</t>
    </rPh>
    <rPh sb="2" eb="3">
      <t>リョウ</t>
    </rPh>
    <rPh sb="3" eb="4">
      <t>リツ</t>
    </rPh>
    <phoneticPr fontId="2"/>
  </si>
  <si>
    <t>国民年金（定額）</t>
    <rPh sb="0" eb="2">
      <t>コクミン</t>
    </rPh>
    <rPh sb="2" eb="4">
      <t>ネンキン</t>
    </rPh>
    <rPh sb="5" eb="7">
      <t>テイガク</t>
    </rPh>
    <phoneticPr fontId="2"/>
  </si>
  <si>
    <t>国民保険</t>
    <rPh sb="0" eb="2">
      <t>コクミン</t>
    </rPh>
    <rPh sb="2" eb="4">
      <t>ホケン</t>
    </rPh>
    <phoneticPr fontId="2"/>
  </si>
  <si>
    <t>江戸川区</t>
    <rPh sb="0" eb="4">
      <t>エドガワク</t>
    </rPh>
    <phoneticPr fontId="2"/>
  </si>
  <si>
    <t>市区町村</t>
    <rPh sb="0" eb="2">
      <t>シク</t>
    </rPh>
    <rPh sb="2" eb="4">
      <t>チョウソン</t>
    </rPh>
    <phoneticPr fontId="2"/>
  </si>
  <si>
    <t>所得割</t>
    <rPh sb="0" eb="2">
      <t>ショトク</t>
    </rPh>
    <rPh sb="2" eb="3">
      <t>ワリ</t>
    </rPh>
    <phoneticPr fontId="2"/>
  </si>
  <si>
    <t>均等割</t>
    <rPh sb="0" eb="3">
      <t>キントウワ</t>
    </rPh>
    <phoneticPr fontId="2"/>
  </si>
  <si>
    <t>限度額</t>
    <rPh sb="0" eb="2">
      <t>ゲンド</t>
    </rPh>
    <rPh sb="2" eb="3">
      <t>ガク</t>
    </rPh>
    <phoneticPr fontId="2"/>
  </si>
  <si>
    <t>加入者数</t>
    <rPh sb="0" eb="3">
      <t>カニュウシャ</t>
    </rPh>
    <rPh sb="3" eb="4">
      <t>スウ</t>
    </rPh>
    <phoneticPr fontId="2"/>
  </si>
  <si>
    <t>社会保険保険料率</t>
    <rPh sb="0" eb="2">
      <t>シャカイ</t>
    </rPh>
    <rPh sb="2" eb="4">
      <t>ホケン</t>
    </rPh>
    <rPh sb="4" eb="6">
      <t>ホケン</t>
    </rPh>
    <rPh sb="6" eb="7">
      <t>リョウ</t>
    </rPh>
    <rPh sb="7" eb="8">
      <t>リツ</t>
    </rPh>
    <phoneticPr fontId="2"/>
  </si>
  <si>
    <t>年金</t>
    <rPh sb="0" eb="2">
      <t>ネンキン</t>
    </rPh>
    <phoneticPr fontId="2"/>
  </si>
  <si>
    <t>介護保険料</t>
    <rPh sb="0" eb="2">
      <t>カイゴ</t>
    </rPh>
    <rPh sb="2" eb="5">
      <t>ホケンリョウ</t>
    </rPh>
    <phoneticPr fontId="2"/>
  </si>
  <si>
    <t>所得金額または欠損金額</t>
    <rPh sb="0" eb="2">
      <t>ショトク</t>
    </rPh>
    <rPh sb="2" eb="4">
      <t>キンガク</t>
    </rPh>
    <rPh sb="7" eb="9">
      <t>ケッソン</t>
    </rPh>
    <rPh sb="9" eb="11">
      <t>キンガク</t>
    </rPh>
    <phoneticPr fontId="3"/>
  </si>
  <si>
    <t>繰越欠損金</t>
    <rPh sb="0" eb="2">
      <t>クリコシ</t>
    </rPh>
    <rPh sb="2" eb="5">
      <t>ケッソンキン</t>
    </rPh>
    <phoneticPr fontId="3"/>
  </si>
  <si>
    <t>中間申告分の法人税等</t>
    <rPh sb="0" eb="2">
      <t>チュウカン</t>
    </rPh>
    <rPh sb="2" eb="4">
      <t>シンコク</t>
    </rPh>
    <rPh sb="4" eb="5">
      <t>ブン</t>
    </rPh>
    <rPh sb="6" eb="7">
      <t>ホウ</t>
    </rPh>
    <rPh sb="7" eb="8">
      <t>ジン</t>
    </rPh>
    <rPh sb="8" eb="10">
      <t>ゼイトウ</t>
    </rPh>
    <phoneticPr fontId="3"/>
  </si>
  <si>
    <t>８００万円以下　（18％）</t>
    <rPh sb="3" eb="4">
      <t>マン</t>
    </rPh>
    <rPh sb="4" eb="5">
      <t>エン</t>
    </rPh>
    <rPh sb="5" eb="7">
      <t>イカ</t>
    </rPh>
    <phoneticPr fontId="3"/>
  </si>
  <si>
    <t>８００万円超</t>
    <rPh sb="3" eb="4">
      <t>マン</t>
    </rPh>
    <rPh sb="4" eb="5">
      <t>エン</t>
    </rPh>
    <rPh sb="5" eb="6">
      <t>チョウ</t>
    </rPh>
    <phoneticPr fontId="3"/>
  </si>
  <si>
    <t>法人税額の計算</t>
    <rPh sb="0" eb="3">
      <t>ホウジンゼイ</t>
    </rPh>
    <rPh sb="3" eb="4">
      <t>ガク</t>
    </rPh>
    <rPh sb="5" eb="7">
      <t>ケイサン</t>
    </rPh>
    <phoneticPr fontId="3"/>
  </si>
  <si>
    <t>所得税の額等</t>
    <rPh sb="0" eb="3">
      <t>ショトクゼイ</t>
    </rPh>
    <rPh sb="4" eb="6">
      <t>ガクトウ</t>
    </rPh>
    <phoneticPr fontId="3"/>
  </si>
  <si>
    <t>法人税額</t>
    <rPh sb="0" eb="3">
      <t>ホウジンゼイ</t>
    </rPh>
    <rPh sb="3" eb="4">
      <t>ガク</t>
    </rPh>
    <phoneticPr fontId="3"/>
  </si>
  <si>
    <t>翌期繰越欠損金</t>
    <rPh sb="0" eb="1">
      <t>ヨク</t>
    </rPh>
    <rPh sb="1" eb="2">
      <t>キ</t>
    </rPh>
    <rPh sb="2" eb="4">
      <t>クリコシ</t>
    </rPh>
    <rPh sb="4" eb="7">
      <t>ケッソンキン</t>
    </rPh>
    <phoneticPr fontId="3"/>
  </si>
  <si>
    <t>地方税</t>
    <rPh sb="0" eb="3">
      <t>チホウゼイ</t>
    </rPh>
    <phoneticPr fontId="3"/>
  </si>
  <si>
    <t>事業税</t>
    <rPh sb="0" eb="3">
      <t>ジギョウゼイ</t>
    </rPh>
    <phoneticPr fontId="3"/>
  </si>
  <si>
    <t>道府県民税</t>
    <rPh sb="0" eb="1">
      <t>ドウ</t>
    </rPh>
    <rPh sb="1" eb="2">
      <t>フ</t>
    </rPh>
    <rPh sb="2" eb="5">
      <t>ケンミンゼイ</t>
    </rPh>
    <phoneticPr fontId="3"/>
  </si>
  <si>
    <t>地方法人特別税</t>
    <rPh sb="0" eb="2">
      <t>チホウ</t>
    </rPh>
    <rPh sb="2" eb="4">
      <t>ホウジン</t>
    </rPh>
    <rPh sb="4" eb="6">
      <t>トクベツ</t>
    </rPh>
    <rPh sb="6" eb="7">
      <t>ゼイ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</si>
  <si>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</si>
  <si>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</si>
  <si>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所得金額総額</t>
    <rPh sb="0" eb="2">
      <t>ショトク</t>
    </rPh>
    <rPh sb="2" eb="4">
      <t>キンガク</t>
    </rPh>
    <rPh sb="4" eb="6">
      <t>ソウガク</t>
    </rPh>
    <phoneticPr fontId="3"/>
  </si>
  <si>
    <t>400万以下</t>
    <rPh sb="3" eb="6">
      <t>マンイカ</t>
    </rPh>
    <phoneticPr fontId="3"/>
  </si>
  <si>
    <t>400～800</t>
    <phoneticPr fontId="3"/>
  </si>
  <si>
    <t>800超</t>
    <rPh sb="3" eb="4">
      <t>チョウ</t>
    </rPh>
    <phoneticPr fontId="3"/>
  </si>
  <si>
    <t>計</t>
    <rPh sb="0" eb="1">
      <t>ケイ</t>
    </rPh>
    <phoneticPr fontId="3"/>
  </si>
  <si>
    <t>中間納付 事業税</t>
    <rPh sb="0" eb="2">
      <t>チュウカン</t>
    </rPh>
    <rPh sb="2" eb="4">
      <t>ノウフ</t>
    </rPh>
    <rPh sb="5" eb="8">
      <t>ジギョウゼイ</t>
    </rPh>
    <phoneticPr fontId="3"/>
  </si>
  <si>
    <t>中間納付 道府県民税</t>
    <rPh sb="0" eb="2">
      <t>チュウカン</t>
    </rPh>
    <rPh sb="2" eb="4">
      <t>ノウフ</t>
    </rPh>
    <rPh sb="5" eb="8">
      <t>ドウフケン</t>
    </rPh>
    <rPh sb="8" eb="9">
      <t>ミン</t>
    </rPh>
    <rPh sb="9" eb="10">
      <t>ゼイ</t>
    </rPh>
    <phoneticPr fontId="3"/>
  </si>
  <si>
    <t>中間納付 地方法人特別税</t>
    <rPh sb="0" eb="2">
      <t>チュウカン</t>
    </rPh>
    <rPh sb="2" eb="4">
      <t>ノウフ</t>
    </rPh>
    <rPh sb="5" eb="7">
      <t>チホウ</t>
    </rPh>
    <rPh sb="7" eb="9">
      <t>ホウジン</t>
    </rPh>
    <rPh sb="9" eb="11">
      <t>トクベツ</t>
    </rPh>
    <rPh sb="11" eb="12">
      <t>ゼイ</t>
    </rPh>
    <phoneticPr fontId="3"/>
  </si>
  <si>
    <t>社長</t>
    <rPh sb="0" eb="2">
      <t>シャチョウ</t>
    </rPh>
    <phoneticPr fontId="2"/>
  </si>
  <si>
    <t>扶養の人数</t>
    <rPh sb="0" eb="2">
      <t>フヨウ</t>
    </rPh>
    <rPh sb="3" eb="5">
      <t>ニンズウ</t>
    </rPh>
    <phoneticPr fontId="2"/>
  </si>
  <si>
    <t>合計</t>
    <rPh sb="0" eb="2">
      <t>ゴウケイ</t>
    </rPh>
    <phoneticPr fontId="2"/>
  </si>
  <si>
    <t>年金加入者数</t>
    <rPh sb="0" eb="2">
      <t>ネンキン</t>
    </rPh>
    <rPh sb="2" eb="5">
      <t>カニュウシャ</t>
    </rPh>
    <rPh sb="5" eb="6">
      <t>スウ</t>
    </rPh>
    <phoneticPr fontId="2"/>
  </si>
  <si>
    <t>個人負担</t>
    <rPh sb="0" eb="2">
      <t>コジン</t>
    </rPh>
    <rPh sb="2" eb="4">
      <t>フタン</t>
    </rPh>
    <phoneticPr fontId="2"/>
  </si>
  <si>
    <t>法人税額等</t>
    <rPh sb="0" eb="3">
      <t>ホウジンゼイ</t>
    </rPh>
    <rPh sb="3" eb="4">
      <t>ガク</t>
    </rPh>
    <rPh sb="4" eb="5">
      <t>トウ</t>
    </rPh>
    <phoneticPr fontId="3"/>
  </si>
  <si>
    <t>個人Ａ</t>
    <rPh sb="0" eb="2">
      <t>コジン</t>
    </rPh>
    <phoneticPr fontId="2"/>
  </si>
  <si>
    <t>社会保険　（東京都の料率）</t>
    <rPh sb="0" eb="2">
      <t>シャカイ</t>
    </rPh>
    <rPh sb="2" eb="4">
      <t>ホケン</t>
    </rPh>
    <rPh sb="6" eb="9">
      <t>トウキョウト</t>
    </rPh>
    <rPh sb="10" eb="12">
      <t>リョウリツ</t>
    </rPh>
    <phoneticPr fontId="2"/>
  </si>
  <si>
    <t>江戸川区を想定</t>
    <rPh sb="0" eb="4">
      <t>エドガワク</t>
    </rPh>
    <rPh sb="5" eb="7">
      <t>ソウテイ</t>
    </rPh>
    <phoneticPr fontId="2"/>
  </si>
  <si>
    <t>青色部分に数値を入力することで、税額・社会保険金額等の概算を計算できます。
なお、江戸川区を想定していますので、ご注意ください。</t>
    <rPh sb="0" eb="2">
      <t>アオイロ</t>
    </rPh>
    <rPh sb="2" eb="4">
      <t>ブブン</t>
    </rPh>
    <rPh sb="5" eb="7">
      <t>スウチ</t>
    </rPh>
    <rPh sb="8" eb="10">
      <t>ニュウリョク</t>
    </rPh>
    <rPh sb="16" eb="18">
      <t>ゼイガク</t>
    </rPh>
    <rPh sb="19" eb="21">
      <t>シャカイ</t>
    </rPh>
    <rPh sb="21" eb="23">
      <t>ホケン</t>
    </rPh>
    <rPh sb="23" eb="25">
      <t>キンガク</t>
    </rPh>
    <rPh sb="25" eb="26">
      <t>トウ</t>
    </rPh>
    <rPh sb="27" eb="29">
      <t>ガイサン</t>
    </rPh>
    <rPh sb="30" eb="32">
      <t>ケイサン</t>
    </rPh>
    <rPh sb="41" eb="45">
      <t>エドガワク</t>
    </rPh>
    <rPh sb="46" eb="48">
      <t>ソウテイ</t>
    </rPh>
    <rPh sb="57" eb="59">
      <t>チュウイ</t>
    </rPh>
    <phoneticPr fontId="2"/>
  </si>
  <si>
    <t>専務</t>
    <rPh sb="0" eb="2">
      <t>センム</t>
    </rPh>
    <phoneticPr fontId="2"/>
  </si>
</sst>
</file>

<file path=xl/styles.xml><?xml version="1.0" encoding="utf-8"?>
<styleSheet xmlns="http://schemas.openxmlformats.org/spreadsheetml/2006/main">
  <numFmts count="1">
    <numFmt numFmtId="176" formatCode="0.000%"/>
  </numFmts>
  <fonts count="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0" xfId="1" applyFont="1">
      <alignment vertical="center"/>
    </xf>
    <xf numFmtId="9" fontId="0" fillId="0" borderId="1" xfId="2" applyFont="1" applyBorder="1">
      <alignment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" xfId="2" applyNumberFormat="1" applyFont="1" applyBorder="1">
      <alignment vertical="center"/>
    </xf>
    <xf numFmtId="0" fontId="0" fillId="0" borderId="1" xfId="0" applyFill="1" applyBorder="1">
      <alignment vertical="center"/>
    </xf>
    <xf numFmtId="0" fontId="0" fillId="0" borderId="0" xfId="0" applyBorder="1">
      <alignment vertical="center"/>
    </xf>
    <xf numFmtId="10" fontId="0" fillId="0" borderId="0" xfId="2" applyNumberFormat="1" applyFont="1" applyBorder="1">
      <alignment vertical="center"/>
    </xf>
    <xf numFmtId="38" fontId="4" fillId="2" borderId="7" xfId="1" applyFont="1" applyFill="1" applyBorder="1">
      <alignment vertical="center"/>
    </xf>
    <xf numFmtId="0" fontId="0" fillId="0" borderId="0" xfId="0" applyBorder="1" applyAlignment="1">
      <alignment horizontal="left" vertical="center" shrinkToFit="1"/>
    </xf>
    <xf numFmtId="38" fontId="4" fillId="2" borderId="1" xfId="1" applyFont="1" applyFill="1" applyBorder="1">
      <alignment vertical="center"/>
    </xf>
    <xf numFmtId="0" fontId="0" fillId="2" borderId="1" xfId="0" applyFill="1" applyBorder="1">
      <alignment vertical="center"/>
    </xf>
    <xf numFmtId="38" fontId="4" fillId="0" borderId="0" xfId="1" applyFont="1" applyFill="1" applyBorder="1">
      <alignment vertical="center"/>
    </xf>
    <xf numFmtId="0" fontId="0" fillId="0" borderId="6" xfId="0" applyFill="1" applyBorder="1" applyAlignment="1">
      <alignment horizontal="center" vertical="center"/>
    </xf>
    <xf numFmtId="38" fontId="4" fillId="0" borderId="7" xfId="1" applyFont="1" applyFill="1" applyBorder="1">
      <alignment vertical="center"/>
    </xf>
    <xf numFmtId="38" fontId="4" fillId="0" borderId="8" xfId="1" applyFont="1" applyFill="1" applyBorder="1">
      <alignment vertical="center"/>
    </xf>
    <xf numFmtId="38" fontId="0" fillId="2" borderId="1" xfId="1" applyFont="1" applyFill="1" applyBorder="1">
      <alignment vertical="center"/>
    </xf>
    <xf numFmtId="10" fontId="0" fillId="2" borderId="1" xfId="2" applyNumberFormat="1" applyFont="1" applyFill="1" applyBorder="1">
      <alignment vertical="center"/>
    </xf>
    <xf numFmtId="176" fontId="0" fillId="2" borderId="1" xfId="2" applyNumberFormat="1" applyFont="1" applyFill="1" applyBorder="1">
      <alignment vertical="center"/>
    </xf>
    <xf numFmtId="0" fontId="0" fillId="0" borderId="3" xfId="0" applyBorder="1" applyAlignment="1">
      <alignment vertical="center"/>
    </xf>
    <xf numFmtId="38" fontId="5" fillId="2" borderId="15" xfId="1" applyFont="1" applyFill="1" applyBorder="1">
      <alignment vertical="center"/>
    </xf>
    <xf numFmtId="38" fontId="5" fillId="2" borderId="16" xfId="1" applyFont="1" applyFill="1" applyBorder="1">
      <alignment vertical="center"/>
    </xf>
    <xf numFmtId="38" fontId="5" fillId="2" borderId="17" xfId="1" applyFont="1" applyFill="1" applyBorder="1">
      <alignment vertical="center"/>
    </xf>
    <xf numFmtId="38" fontId="0" fillId="0" borderId="6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21" xfId="1" applyFont="1" applyBorder="1">
      <alignment vertical="center"/>
    </xf>
    <xf numFmtId="38" fontId="4" fillId="3" borderId="20" xfId="1" applyFont="1" applyFill="1" applyBorder="1">
      <alignment vertical="center"/>
    </xf>
    <xf numFmtId="38" fontId="5" fillId="2" borderId="24" xfId="1" applyFont="1" applyFill="1" applyBorder="1">
      <alignment vertical="center"/>
    </xf>
    <xf numFmtId="38" fontId="5" fillId="2" borderId="25" xfId="1" applyFont="1" applyFill="1" applyBorder="1">
      <alignment vertical="center"/>
    </xf>
    <xf numFmtId="38" fontId="5" fillId="2" borderId="26" xfId="1" applyFont="1" applyFill="1" applyBorder="1">
      <alignment vertical="center"/>
    </xf>
    <xf numFmtId="38" fontId="4" fillId="5" borderId="7" xfId="1" applyFont="1" applyFill="1" applyBorder="1">
      <alignment vertical="center"/>
    </xf>
    <xf numFmtId="0" fontId="5" fillId="0" borderId="0" xfId="0" applyFont="1" applyBorder="1" applyAlignment="1">
      <alignment horizontal="center" vertical="center"/>
    </xf>
    <xf numFmtId="38" fontId="5" fillId="0" borderId="0" xfId="1" applyFont="1" applyFill="1" applyBorder="1">
      <alignment vertical="center"/>
    </xf>
    <xf numFmtId="38" fontId="0" fillId="4" borderId="1" xfId="1" applyFont="1" applyFill="1" applyBorder="1" applyProtection="1">
      <alignment vertical="center"/>
      <protection locked="0"/>
    </xf>
    <xf numFmtId="0" fontId="0" fillId="4" borderId="10" xfId="0" applyFill="1" applyBorder="1" applyProtection="1">
      <alignment vertical="center"/>
      <protection locked="0"/>
    </xf>
    <xf numFmtId="0" fontId="0" fillId="4" borderId="11" xfId="0" applyFill="1" applyBorder="1" applyProtection="1">
      <alignment vertical="center"/>
      <protection locked="0"/>
    </xf>
    <xf numFmtId="0" fontId="0" fillId="4" borderId="13" xfId="0" applyFill="1" applyBorder="1" applyProtection="1">
      <alignment vertical="center"/>
      <protection locked="0"/>
    </xf>
    <xf numFmtId="0" fontId="0" fillId="4" borderId="1" xfId="0" applyFill="1" applyBorder="1" applyProtection="1">
      <alignment vertical="center"/>
      <protection locked="0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shrinkToFit="1"/>
    </xf>
    <xf numFmtId="0" fontId="0" fillId="3" borderId="1" xfId="0" applyFill="1" applyBorder="1" applyAlignment="1">
      <alignment horizontal="left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shrinkToFit="1"/>
    </xf>
    <xf numFmtId="0" fontId="0" fillId="3" borderId="3" xfId="0" applyFill="1" applyBorder="1" applyAlignment="1">
      <alignment horizontal="left" vertical="center" shrinkToFit="1"/>
    </xf>
    <xf numFmtId="0" fontId="0" fillId="0" borderId="1" xfId="0" applyBorder="1" applyAlignment="1">
      <alignment horizontal="center" vertical="center" textRotation="255"/>
    </xf>
    <xf numFmtId="0" fontId="0" fillId="3" borderId="1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0" borderId="3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38" fontId="0" fillId="0" borderId="2" xfId="1" applyFont="1" applyBorder="1" applyAlignment="1">
      <alignment vertical="center"/>
    </xf>
    <xf numFmtId="38" fontId="0" fillId="0" borderId="3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6" borderId="0" xfId="0" applyFill="1" applyBorder="1">
      <alignment vertical="center"/>
    </xf>
    <xf numFmtId="0" fontId="0" fillId="6" borderId="0" xfId="0" applyFill="1">
      <alignment vertical="center"/>
    </xf>
    <xf numFmtId="0" fontId="0" fillId="6" borderId="0" xfId="0" applyFill="1" applyAlignment="1">
      <alignment horizontal="center" vertical="center" wrapText="1"/>
    </xf>
    <xf numFmtId="0" fontId="0" fillId="6" borderId="3" xfId="0" applyFill="1" applyBorder="1" applyAlignment="1">
      <alignment horizontal="center" vertical="center" shrinkToFit="1"/>
    </xf>
    <xf numFmtId="0" fontId="0" fillId="6" borderId="4" xfId="0" applyFill="1" applyBorder="1">
      <alignment vertical="center"/>
    </xf>
    <xf numFmtId="0" fontId="0" fillId="6" borderId="1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6" borderId="3" xfId="0" applyFill="1" applyBorder="1" applyAlignment="1">
      <alignment horizontal="left" vertical="center" shrinkToFit="1"/>
    </xf>
    <xf numFmtId="38" fontId="0" fillId="6" borderId="1" xfId="1" applyFont="1" applyFill="1" applyBorder="1">
      <alignment vertical="center"/>
    </xf>
    <xf numFmtId="0" fontId="0" fillId="6" borderId="0" xfId="0" applyFill="1" applyBorder="1" applyAlignment="1">
      <alignment horizontal="center" vertical="center"/>
    </xf>
    <xf numFmtId="38" fontId="0" fillId="6" borderId="0" xfId="1" applyFont="1" applyFill="1" applyBorder="1">
      <alignment vertical="center"/>
    </xf>
    <xf numFmtId="0" fontId="0" fillId="6" borderId="9" xfId="0" applyFill="1" applyBorder="1" applyAlignment="1">
      <alignment horizontal="center" vertical="center"/>
    </xf>
    <xf numFmtId="0" fontId="0" fillId="6" borderId="1" xfId="0" applyFill="1" applyBorder="1">
      <alignment vertical="center"/>
    </xf>
    <xf numFmtId="0" fontId="0" fillId="6" borderId="27" xfId="0" applyFill="1" applyBorder="1">
      <alignment vertical="center"/>
    </xf>
    <xf numFmtId="0" fontId="0" fillId="6" borderId="28" xfId="0" applyFill="1" applyBorder="1">
      <alignment vertical="center"/>
    </xf>
    <xf numFmtId="0" fontId="0" fillId="6" borderId="29" xfId="0" applyFill="1" applyBorder="1">
      <alignment vertical="center"/>
    </xf>
    <xf numFmtId="38" fontId="0" fillId="6" borderId="10" xfId="1" applyFont="1" applyFill="1" applyBorder="1">
      <alignment vertical="center"/>
    </xf>
    <xf numFmtId="38" fontId="0" fillId="6" borderId="11" xfId="1" applyFont="1" applyFill="1" applyBorder="1">
      <alignment vertical="center"/>
    </xf>
    <xf numFmtId="38" fontId="0" fillId="6" borderId="12" xfId="1" applyFont="1" applyFill="1" applyBorder="1">
      <alignment vertical="center"/>
    </xf>
    <xf numFmtId="38" fontId="0" fillId="6" borderId="13" xfId="1" applyFont="1" applyFill="1" applyBorder="1">
      <alignment vertical="center"/>
    </xf>
    <xf numFmtId="38" fontId="0" fillId="6" borderId="14" xfId="1" applyFont="1" applyFill="1" applyBorder="1">
      <alignment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0" xfId="0" applyFont="1" applyFill="1" applyBorder="1" applyAlignment="1">
      <alignment horizontal="center" vertical="center"/>
    </xf>
    <xf numFmtId="38" fontId="5" fillId="6" borderId="0" xfId="1" applyFont="1" applyFill="1" applyBorder="1">
      <alignment vertical="center"/>
    </xf>
    <xf numFmtId="38" fontId="0" fillId="6" borderId="0" xfId="1" applyFont="1" applyFill="1">
      <alignment vertical="center"/>
    </xf>
    <xf numFmtId="0" fontId="0" fillId="6" borderId="9" xfId="0" applyFill="1" applyBorder="1" applyAlignment="1">
      <alignment horizontal="center" vertical="center" wrapText="1"/>
    </xf>
    <xf numFmtId="0" fontId="0" fillId="6" borderId="3" xfId="0" applyFill="1" applyBorder="1" applyAlignment="1">
      <alignment vertical="center"/>
    </xf>
    <xf numFmtId="0" fontId="0" fillId="6" borderId="18" xfId="0" applyFill="1" applyBorder="1" applyAlignment="1">
      <alignment horizontal="center" vertical="center"/>
    </xf>
    <xf numFmtId="0" fontId="0" fillId="6" borderId="3" xfId="0" applyFill="1" applyBorder="1">
      <alignment vertical="center"/>
    </xf>
    <xf numFmtId="0" fontId="0" fillId="6" borderId="19" xfId="0" applyFill="1" applyBorder="1">
      <alignment vertical="center"/>
    </xf>
    <xf numFmtId="38" fontId="0" fillId="6" borderId="22" xfId="1" applyFont="1" applyFill="1" applyBorder="1">
      <alignment vertical="center"/>
    </xf>
    <xf numFmtId="38" fontId="0" fillId="6" borderId="9" xfId="1" applyFont="1" applyFill="1" applyBorder="1">
      <alignment vertical="center"/>
    </xf>
    <xf numFmtId="38" fontId="0" fillId="6" borderId="23" xfId="1" applyFont="1" applyFill="1" applyBorder="1">
      <alignment vertical="center"/>
    </xf>
    <xf numFmtId="0" fontId="0" fillId="6" borderId="0" xfId="0" applyFill="1" applyBorder="1" applyAlignment="1">
      <alignment vertical="center"/>
    </xf>
    <xf numFmtId="0" fontId="0" fillId="6" borderId="0" xfId="0" applyFill="1">
      <alignment vertical="center"/>
    </xf>
    <xf numFmtId="0" fontId="0" fillId="2" borderId="3" xfId="0" applyFill="1" applyBorder="1" applyAlignment="1">
      <alignment horizontal="left" vertical="center" shrinkToFit="1"/>
    </xf>
    <xf numFmtId="0" fontId="0" fillId="2" borderId="4" xfId="0" applyFill="1" applyBorder="1">
      <alignment vertical="center"/>
    </xf>
    <xf numFmtId="38" fontId="6" fillId="4" borderId="1" xfId="1" applyFont="1" applyFill="1" applyBorder="1" applyProtection="1">
      <alignment vertical="center"/>
      <protection locked="0"/>
    </xf>
    <xf numFmtId="38" fontId="4" fillId="4" borderId="1" xfId="1" applyFont="1" applyFill="1" applyBorder="1" applyProtection="1">
      <alignment vertical="center"/>
      <protection locked="0"/>
    </xf>
    <xf numFmtId="38" fontId="6" fillId="6" borderId="1" xfId="1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21</xdr:row>
      <xdr:rowOff>138546</xdr:rowOff>
    </xdr:from>
    <xdr:to>
      <xdr:col>3</xdr:col>
      <xdr:colOff>289217</xdr:colOff>
      <xdr:row>29</xdr:row>
      <xdr:rowOff>38242</xdr:rowOff>
    </xdr:to>
    <xdr:pic>
      <xdr:nvPicPr>
        <xdr:cNvPr id="2" name="図 1" descr="013_計算機と家計簿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 rot="19859835">
          <a:off x="389659" y="3792682"/>
          <a:ext cx="1371603" cy="13197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98"/>
  <sheetViews>
    <sheetView tabSelected="1" zoomScaleNormal="100" zoomScaleSheetLayoutView="110" workbookViewId="0">
      <selection activeCell="D6" sqref="D6"/>
    </sheetView>
  </sheetViews>
  <sheetFormatPr defaultRowHeight="13.5" zeroHeight="1"/>
  <cols>
    <col min="1" max="1" width="1.375" customWidth="1"/>
    <col min="4" max="4" width="10.25" customWidth="1"/>
    <col min="5" max="5" width="1.25" customWidth="1"/>
    <col min="7" max="7" width="21.25" customWidth="1"/>
    <col min="8" max="8" width="11.125" customWidth="1"/>
    <col min="9" max="9" width="11.25" customWidth="1"/>
    <col min="10" max="10" width="10.375" customWidth="1"/>
    <col min="11" max="11" width="10.25" customWidth="1"/>
    <col min="12" max="12" width="7.125" hidden="1" customWidth="1"/>
    <col min="13" max="13" width="9.25" hidden="1" customWidth="1"/>
    <col min="14" max="14" width="15.125" hidden="1" customWidth="1"/>
    <col min="15" max="16384" width="0" hidden="1" customWidth="1"/>
  </cols>
  <sheetData>
    <row r="1" spans="1:11">
      <c r="A1" s="62"/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ht="13.5" customHeight="1">
      <c r="A2" s="62"/>
      <c r="B2" s="63" t="s">
        <v>74</v>
      </c>
      <c r="C2" s="63"/>
      <c r="D2" s="63"/>
      <c r="E2" s="63"/>
      <c r="F2" s="63"/>
      <c r="G2" s="63"/>
      <c r="H2" s="63"/>
      <c r="I2" s="63"/>
      <c r="J2" s="63"/>
      <c r="K2" s="63"/>
    </row>
    <row r="3" spans="1:11">
      <c r="A3" s="62"/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1">
      <c r="A4" s="62"/>
      <c r="B4" s="62"/>
      <c r="C4" s="62"/>
      <c r="D4" s="62"/>
      <c r="E4" s="62"/>
      <c r="F4" s="62"/>
      <c r="G4" s="62"/>
      <c r="H4" s="62"/>
      <c r="I4" s="62"/>
      <c r="J4" s="62"/>
      <c r="K4" s="62"/>
    </row>
    <row r="5" spans="1:11">
      <c r="A5" s="62"/>
      <c r="B5" s="64"/>
      <c r="C5" s="65"/>
      <c r="D5" s="66" t="s">
        <v>0</v>
      </c>
      <c r="E5" s="62"/>
      <c r="F5" s="67"/>
      <c r="G5" s="65"/>
      <c r="H5" s="66" t="s">
        <v>65</v>
      </c>
      <c r="I5" s="66" t="s">
        <v>75</v>
      </c>
      <c r="J5" s="66" t="s">
        <v>67</v>
      </c>
      <c r="K5" s="62"/>
    </row>
    <row r="6" spans="1:11">
      <c r="A6" s="62"/>
      <c r="B6" s="68" t="s">
        <v>42</v>
      </c>
      <c r="C6" s="65"/>
      <c r="D6" s="99">
        <v>10000000</v>
      </c>
      <c r="E6" s="62"/>
      <c r="F6" s="67" t="s">
        <v>24</v>
      </c>
      <c r="G6" s="65"/>
      <c r="H6" s="36">
        <v>8000000</v>
      </c>
      <c r="I6" s="36">
        <v>6000000</v>
      </c>
      <c r="J6" s="69">
        <f>SUM(H6:I6)</f>
        <v>14000000</v>
      </c>
      <c r="K6" s="62"/>
    </row>
    <row r="7" spans="1:11">
      <c r="A7" s="62"/>
      <c r="B7" s="68" t="s">
        <v>43</v>
      </c>
      <c r="C7" s="65"/>
      <c r="D7" s="99">
        <v>0</v>
      </c>
      <c r="E7" s="62"/>
      <c r="F7" s="70"/>
      <c r="G7" s="70"/>
      <c r="H7" s="71"/>
      <c r="I7" s="71"/>
      <c r="J7" s="71"/>
      <c r="K7" s="62"/>
    </row>
    <row r="8" spans="1:11">
      <c r="A8" s="62"/>
      <c r="B8" s="68" t="s">
        <v>44</v>
      </c>
      <c r="C8" s="65"/>
      <c r="D8" s="99">
        <v>0</v>
      </c>
      <c r="E8" s="62"/>
      <c r="F8" s="72" t="s">
        <v>1</v>
      </c>
      <c r="G8" s="73" t="s">
        <v>2</v>
      </c>
      <c r="H8" s="98">
        <f>H25</f>
        <v>461400</v>
      </c>
      <c r="I8" s="98">
        <f>I25</f>
        <v>354738</v>
      </c>
      <c r="J8" s="100">
        <f t="shared" ref="J8:J16" si="0">SUM(H8:I8)</f>
        <v>816138</v>
      </c>
      <c r="K8" s="62"/>
    </row>
    <row r="9" spans="1:11">
      <c r="A9" s="62"/>
      <c r="B9" s="96" t="s">
        <v>70</v>
      </c>
      <c r="C9" s="97"/>
      <c r="D9" s="13">
        <f>D51</f>
        <v>3139800</v>
      </c>
      <c r="E9" s="62"/>
      <c r="F9" s="74"/>
      <c r="G9" s="73" t="s">
        <v>3</v>
      </c>
      <c r="H9" s="98"/>
      <c r="I9" s="98"/>
      <c r="J9" s="100">
        <f t="shared" si="0"/>
        <v>0</v>
      </c>
      <c r="K9" s="62"/>
    </row>
    <row r="10" spans="1:11">
      <c r="A10" s="62"/>
      <c r="B10" s="62"/>
      <c r="C10" s="62"/>
      <c r="D10" s="62"/>
      <c r="E10" s="62"/>
      <c r="F10" s="74"/>
      <c r="G10" s="73" t="s">
        <v>4</v>
      </c>
      <c r="H10" s="98">
        <v>100000</v>
      </c>
      <c r="I10" s="98">
        <v>100000</v>
      </c>
      <c r="J10" s="100">
        <f t="shared" si="0"/>
        <v>200000</v>
      </c>
      <c r="K10" s="62"/>
    </row>
    <row r="11" spans="1:11">
      <c r="A11" s="62"/>
      <c r="B11" s="62"/>
      <c r="C11" s="62"/>
      <c r="D11" s="62"/>
      <c r="E11" s="62"/>
      <c r="F11" s="74"/>
      <c r="G11" s="73" t="s">
        <v>5</v>
      </c>
      <c r="H11" s="98"/>
      <c r="I11" s="98">
        <v>0</v>
      </c>
      <c r="J11" s="100">
        <f t="shared" si="0"/>
        <v>0</v>
      </c>
      <c r="K11" s="62"/>
    </row>
    <row r="12" spans="1:11" ht="13.5" customHeight="1">
      <c r="A12" s="62"/>
      <c r="B12" s="62"/>
      <c r="C12" s="62"/>
      <c r="D12" s="62"/>
      <c r="E12" s="62"/>
      <c r="F12" s="74"/>
      <c r="G12" s="73" t="s">
        <v>6</v>
      </c>
      <c r="H12" s="98">
        <v>380000</v>
      </c>
      <c r="I12" s="98">
        <v>380000</v>
      </c>
      <c r="J12" s="100">
        <f t="shared" si="0"/>
        <v>760000</v>
      </c>
      <c r="K12" s="62"/>
    </row>
    <row r="13" spans="1:11">
      <c r="A13" s="62"/>
      <c r="B13" s="61"/>
      <c r="C13" s="61"/>
      <c r="D13" s="62"/>
      <c r="E13" s="62"/>
      <c r="F13" s="74"/>
      <c r="G13" s="73" t="s">
        <v>7</v>
      </c>
      <c r="H13" s="98"/>
      <c r="I13" s="98"/>
      <c r="J13" s="100">
        <f t="shared" si="0"/>
        <v>0</v>
      </c>
      <c r="K13" s="62"/>
    </row>
    <row r="14" spans="1:11">
      <c r="A14" s="62"/>
      <c r="B14" s="61"/>
      <c r="C14" s="61"/>
      <c r="D14" s="62"/>
      <c r="E14" s="62"/>
      <c r="F14" s="74"/>
      <c r="G14" s="73" t="s">
        <v>8</v>
      </c>
      <c r="H14" s="98">
        <v>0</v>
      </c>
      <c r="I14" s="98">
        <v>0</v>
      </c>
      <c r="J14" s="100">
        <f t="shared" si="0"/>
        <v>0</v>
      </c>
      <c r="K14" s="62"/>
    </row>
    <row r="15" spans="1:11">
      <c r="A15" s="62"/>
      <c r="B15" s="61"/>
      <c r="C15" s="61"/>
      <c r="D15" s="62"/>
      <c r="E15" s="62"/>
      <c r="F15" s="75"/>
      <c r="G15" s="73" t="s">
        <v>9</v>
      </c>
      <c r="H15" s="69">
        <v>380000</v>
      </c>
      <c r="I15" s="69">
        <v>380000</v>
      </c>
      <c r="J15" s="69">
        <f t="shared" si="0"/>
        <v>760000</v>
      </c>
      <c r="K15" s="62"/>
    </row>
    <row r="16" spans="1:11">
      <c r="A16" s="62"/>
      <c r="B16" s="61"/>
      <c r="C16" s="61"/>
      <c r="D16" s="62"/>
      <c r="E16" s="62"/>
      <c r="F16" s="67" t="s">
        <v>14</v>
      </c>
      <c r="G16" s="65"/>
      <c r="H16" s="69">
        <f>SUM(H8:H15)</f>
        <v>1321400</v>
      </c>
      <c r="I16" s="69">
        <f>SUM(I8:I15)</f>
        <v>1214738</v>
      </c>
      <c r="J16" s="69">
        <f t="shared" si="0"/>
        <v>2536138</v>
      </c>
      <c r="K16" s="62"/>
    </row>
    <row r="17" spans="1:11" ht="14.25" thickBot="1">
      <c r="A17" s="62"/>
      <c r="B17" s="61"/>
      <c r="C17" s="61"/>
      <c r="D17" s="62"/>
      <c r="E17" s="62"/>
      <c r="F17" s="70"/>
      <c r="G17" s="70"/>
      <c r="H17" s="71"/>
      <c r="I17" s="71"/>
      <c r="J17" s="71"/>
      <c r="K17" s="62"/>
    </row>
    <row r="18" spans="1:11">
      <c r="A18" s="62"/>
      <c r="B18" s="62"/>
      <c r="C18" s="62"/>
      <c r="D18" s="62"/>
      <c r="E18" s="62"/>
      <c r="F18" s="67" t="s">
        <v>10</v>
      </c>
      <c r="G18" s="76"/>
      <c r="H18" s="77">
        <f>H53</f>
        <v>508100</v>
      </c>
      <c r="I18" s="78">
        <f>H85</f>
        <v>207000</v>
      </c>
      <c r="J18" s="79">
        <f>SUM(H18:I18)</f>
        <v>715100</v>
      </c>
      <c r="K18" s="62"/>
    </row>
    <row r="19" spans="1:11">
      <c r="A19" s="62"/>
      <c r="B19" s="62"/>
      <c r="C19" s="62"/>
      <c r="D19" s="62"/>
      <c r="E19" s="62"/>
      <c r="F19" s="67" t="s">
        <v>11</v>
      </c>
      <c r="G19" s="76"/>
      <c r="H19" s="80">
        <f>H54</f>
        <v>467800</v>
      </c>
      <c r="I19" s="69">
        <f>H86</f>
        <v>304500</v>
      </c>
      <c r="J19" s="81">
        <f>SUM(H19:I19)</f>
        <v>772300</v>
      </c>
      <c r="K19" s="62"/>
    </row>
    <row r="20" spans="1:11" ht="14.25" thickBot="1">
      <c r="A20" s="62"/>
      <c r="B20" s="62"/>
      <c r="C20" s="62"/>
      <c r="D20" s="62"/>
      <c r="E20" s="62"/>
      <c r="F20" s="82" t="s">
        <v>27</v>
      </c>
      <c r="G20" s="76"/>
      <c r="H20" s="23">
        <f>SUM(H18:H19)</f>
        <v>975900</v>
      </c>
      <c r="I20" s="24">
        <f>SUM(I18:I19)</f>
        <v>511500</v>
      </c>
      <c r="J20" s="25">
        <f>SUM(H20:I20)</f>
        <v>1487400</v>
      </c>
      <c r="K20" s="62"/>
    </row>
    <row r="21" spans="1:11">
      <c r="A21" s="62"/>
      <c r="B21" s="62"/>
      <c r="C21" s="62"/>
      <c r="D21" s="62"/>
      <c r="E21" s="62"/>
      <c r="F21" s="83"/>
      <c r="G21" s="83"/>
      <c r="H21" s="84"/>
      <c r="I21" s="84"/>
      <c r="J21" s="84"/>
      <c r="K21" s="62"/>
    </row>
    <row r="22" spans="1:11" ht="14.25" thickBot="1">
      <c r="A22" s="62"/>
      <c r="B22" s="62"/>
      <c r="C22" s="62"/>
      <c r="D22" s="62"/>
      <c r="E22" s="62"/>
      <c r="F22" s="62" t="s">
        <v>73</v>
      </c>
      <c r="G22" s="62"/>
      <c r="H22" s="85"/>
      <c r="I22" s="85"/>
      <c r="J22" s="85"/>
      <c r="K22" s="62"/>
    </row>
    <row r="23" spans="1:11">
      <c r="A23" s="62"/>
      <c r="B23" s="62"/>
      <c r="C23" s="62"/>
      <c r="D23" s="62"/>
      <c r="E23" s="62"/>
      <c r="F23" s="86" t="s">
        <v>32</v>
      </c>
      <c r="G23" s="87" t="s">
        <v>66</v>
      </c>
      <c r="H23" s="37">
        <v>2</v>
      </c>
      <c r="I23" s="38">
        <v>2</v>
      </c>
      <c r="J23" s="88"/>
      <c r="K23" s="62"/>
    </row>
    <row r="24" spans="1:11">
      <c r="A24" s="62"/>
      <c r="B24" s="62"/>
      <c r="C24" s="62"/>
      <c r="D24" s="62"/>
      <c r="E24" s="62"/>
      <c r="F24" s="74"/>
      <c r="G24" s="89" t="s">
        <v>68</v>
      </c>
      <c r="H24" s="39">
        <v>2</v>
      </c>
      <c r="I24" s="40">
        <v>2</v>
      </c>
      <c r="J24" s="90"/>
      <c r="K24" s="62"/>
    </row>
    <row r="25" spans="1:11">
      <c r="A25" s="62"/>
      <c r="B25" s="62"/>
      <c r="C25" s="62"/>
      <c r="D25" s="62"/>
      <c r="E25" s="62"/>
      <c r="F25" s="74"/>
      <c r="G25" s="87" t="s">
        <v>12</v>
      </c>
      <c r="H25" s="80">
        <f>H57</f>
        <v>461400</v>
      </c>
      <c r="I25" s="69">
        <f>H89</f>
        <v>354738</v>
      </c>
      <c r="J25" s="81">
        <f>SUM(H25:I25)</f>
        <v>816138</v>
      </c>
      <c r="K25" s="62"/>
    </row>
    <row r="26" spans="1:11" ht="14.25" thickBot="1">
      <c r="A26" s="62"/>
      <c r="B26" s="62"/>
      <c r="C26" s="62"/>
      <c r="D26" s="62"/>
      <c r="E26" s="62"/>
      <c r="F26" s="75"/>
      <c r="G26" s="87" t="s">
        <v>31</v>
      </c>
      <c r="H26" s="91">
        <f>H58</f>
        <v>360480</v>
      </c>
      <c r="I26" s="92">
        <f>H90</f>
        <v>360480</v>
      </c>
      <c r="J26" s="93">
        <f>SUM(H26:I26)</f>
        <v>720960</v>
      </c>
      <c r="K26" s="62"/>
    </row>
    <row r="27" spans="1:11" ht="14.25" thickBot="1">
      <c r="A27" s="62"/>
      <c r="B27" s="62"/>
      <c r="C27" s="62"/>
      <c r="D27" s="62"/>
      <c r="E27" s="62"/>
      <c r="F27" s="82" t="s">
        <v>27</v>
      </c>
      <c r="G27" s="76"/>
      <c r="H27" s="30">
        <f>SUM(H25:H26)</f>
        <v>821880</v>
      </c>
      <c r="I27" s="31">
        <f>SUM(I25:I26)</f>
        <v>715218</v>
      </c>
      <c r="J27" s="32">
        <f>SUM(H27:I27)</f>
        <v>1537098</v>
      </c>
      <c r="K27" s="62"/>
    </row>
    <row r="28" spans="1:11" ht="14.25" thickBot="1">
      <c r="A28" s="62"/>
      <c r="B28" s="62"/>
      <c r="C28" s="62"/>
      <c r="D28" s="62"/>
      <c r="E28" s="62"/>
      <c r="F28" s="94" t="s">
        <v>72</v>
      </c>
      <c r="G28" s="95"/>
      <c r="H28" s="95"/>
      <c r="I28" s="62"/>
      <c r="J28" s="62"/>
      <c r="K28" s="62"/>
    </row>
    <row r="29" spans="1:11">
      <c r="A29" s="62"/>
      <c r="B29" s="62"/>
      <c r="C29" s="62"/>
      <c r="D29" s="62"/>
      <c r="E29" s="62"/>
      <c r="F29" s="86" t="s">
        <v>69</v>
      </c>
      <c r="G29" s="89" t="s">
        <v>12</v>
      </c>
      <c r="H29" s="77">
        <f>H60</f>
        <v>372800</v>
      </c>
      <c r="I29" s="78">
        <f>H92</f>
        <v>279600</v>
      </c>
      <c r="J29" s="79">
        <f>SUM(H29:I29)</f>
        <v>652400</v>
      </c>
      <c r="K29" s="62"/>
    </row>
    <row r="30" spans="1:11" ht="14.25" thickBot="1">
      <c r="A30" s="62"/>
      <c r="B30" s="62"/>
      <c r="C30" s="62"/>
      <c r="D30" s="62"/>
      <c r="E30" s="62"/>
      <c r="F30" s="75"/>
      <c r="G30" s="89" t="s">
        <v>13</v>
      </c>
      <c r="H30" s="80">
        <f>H61</f>
        <v>642320</v>
      </c>
      <c r="I30" s="69">
        <f>H93</f>
        <v>481740</v>
      </c>
      <c r="J30" s="81">
        <f>SUM(H30:I30)</f>
        <v>1124060</v>
      </c>
      <c r="K30" s="62"/>
    </row>
    <row r="31" spans="1:11" ht="14.25" thickBot="1">
      <c r="A31" s="62"/>
      <c r="B31" s="62"/>
      <c r="C31" s="62"/>
      <c r="D31" s="62"/>
      <c r="E31" s="62"/>
      <c r="F31" s="82" t="s">
        <v>27</v>
      </c>
      <c r="G31" s="76"/>
      <c r="H31" s="30">
        <f>SUM(H29:H30)</f>
        <v>1015120</v>
      </c>
      <c r="I31" s="31">
        <f>SUM(I29:I30)</f>
        <v>761340</v>
      </c>
      <c r="J31" s="32">
        <f>SUM(H31:I31)</f>
        <v>1776460</v>
      </c>
      <c r="K31" s="62"/>
    </row>
    <row r="32" spans="1:11">
      <c r="A32" s="62"/>
      <c r="B32" s="62"/>
      <c r="C32" s="62"/>
      <c r="D32" s="62"/>
      <c r="E32" s="62"/>
      <c r="F32" s="83"/>
      <c r="G32" s="83"/>
      <c r="H32" s="84"/>
      <c r="I32" s="84"/>
      <c r="J32" s="84"/>
      <c r="K32" s="62"/>
    </row>
    <row r="33" spans="2:14" hidden="1">
      <c r="F33" s="34"/>
      <c r="G33" s="34"/>
      <c r="H33" s="35"/>
      <c r="I33" s="35"/>
      <c r="J33" s="35"/>
    </row>
    <row r="34" spans="2:14" hidden="1">
      <c r="F34" s="34"/>
      <c r="G34" s="34"/>
      <c r="H34" s="35"/>
      <c r="I34" s="35"/>
      <c r="J34" s="35"/>
    </row>
    <row r="35" spans="2:14" ht="14.25" hidden="1" thickBot="1"/>
    <row r="36" spans="2:14" hidden="1">
      <c r="B36" s="46"/>
      <c r="C36" s="47"/>
      <c r="D36" s="16" t="s">
        <v>0</v>
      </c>
      <c r="F36" t="s">
        <v>65</v>
      </c>
      <c r="H36" s="3"/>
      <c r="L36" s="3"/>
      <c r="M36" s="3"/>
    </row>
    <row r="37" spans="2:14" hidden="1">
      <c r="B37" s="44" t="s">
        <v>42</v>
      </c>
      <c r="C37" s="49"/>
      <c r="D37" s="33">
        <f>D6</f>
        <v>10000000</v>
      </c>
      <c r="F37" s="43" t="s">
        <v>24</v>
      </c>
      <c r="G37" s="43"/>
      <c r="H37" s="2">
        <f>H6</f>
        <v>8000000</v>
      </c>
      <c r="J37" s="56" t="s">
        <v>17</v>
      </c>
      <c r="K37" s="56"/>
      <c r="L37" s="56"/>
      <c r="M37" s="56"/>
      <c r="N37" s="56"/>
    </row>
    <row r="38" spans="2:14" hidden="1">
      <c r="B38" s="44" t="s">
        <v>43</v>
      </c>
      <c r="C38" s="49"/>
      <c r="D38" s="33">
        <f>D7</f>
        <v>0</v>
      </c>
      <c r="F38" s="5"/>
      <c r="G38" s="5"/>
      <c r="H38" s="6"/>
      <c r="J38" s="2" t="s">
        <v>20</v>
      </c>
      <c r="K38" s="2" t="s">
        <v>21</v>
      </c>
      <c r="L38" s="1" t="s">
        <v>16</v>
      </c>
      <c r="M38" s="1" t="s">
        <v>1</v>
      </c>
      <c r="N38" s="1" t="s">
        <v>26</v>
      </c>
    </row>
    <row r="39" spans="2:14" hidden="1">
      <c r="B39" s="44" t="s">
        <v>44</v>
      </c>
      <c r="C39" s="49"/>
      <c r="D39" s="33">
        <f>D8</f>
        <v>0</v>
      </c>
      <c r="F39" s="43" t="s">
        <v>25</v>
      </c>
      <c r="G39" s="43"/>
      <c r="H39" s="2">
        <f>IF(H37-N45&gt;0,H37-N45,0)</f>
        <v>6000000</v>
      </c>
      <c r="J39" s="2"/>
      <c r="K39" s="2">
        <v>1625000</v>
      </c>
      <c r="L39" s="7"/>
      <c r="M39" s="2">
        <v>650000</v>
      </c>
      <c r="N39" s="2">
        <f>IF(H37&lt;=K39,M39,0)</f>
        <v>0</v>
      </c>
    </row>
    <row r="40" spans="2:14" hidden="1">
      <c r="B40" s="44" t="s">
        <v>45</v>
      </c>
      <c r="C40" s="49"/>
      <c r="D40" s="17">
        <f>IF(D37-D38&gt;0,ROUNDDOWN(IF(D37&lt;=8000000,(D37-D38)*0.18,1440000),-2),0)</f>
        <v>1440000</v>
      </c>
      <c r="H40" s="3"/>
      <c r="J40" s="2">
        <v>1625000</v>
      </c>
      <c r="K40" s="2">
        <v>1800000</v>
      </c>
      <c r="L40" s="7">
        <v>0.4</v>
      </c>
      <c r="M40" s="1">
        <v>0</v>
      </c>
      <c r="N40" s="2">
        <f>IF(H37&gt;J40,IF(H37&lt;=K40,H37*L40,0),0)</f>
        <v>0</v>
      </c>
    </row>
    <row r="41" spans="2:14" hidden="1">
      <c r="B41" s="44" t="s">
        <v>46</v>
      </c>
      <c r="C41" s="49"/>
      <c r="D41" s="17">
        <f>ROUNDDOWN(IF(D37&gt;8000000,(D37-D38-8000000)*0.3,0),-2)</f>
        <v>600000</v>
      </c>
      <c r="F41" s="43" t="s">
        <v>1</v>
      </c>
      <c r="G41" s="1" t="s">
        <v>2</v>
      </c>
      <c r="H41" s="2">
        <f>H8</f>
        <v>461400</v>
      </c>
      <c r="J41" s="2">
        <v>1800000</v>
      </c>
      <c r="K41" s="2">
        <v>3600000</v>
      </c>
      <c r="L41" s="7">
        <v>0.3</v>
      </c>
      <c r="M41" s="2">
        <v>180000</v>
      </c>
      <c r="N41" s="2">
        <f>IF(H37&gt;J41,IF(H37&lt;=K41,H37*L41+M41,0),0)</f>
        <v>0</v>
      </c>
    </row>
    <row r="42" spans="2:14" hidden="1">
      <c r="B42" s="45" t="s">
        <v>47</v>
      </c>
      <c r="C42" s="50"/>
      <c r="D42" s="11">
        <f t="shared" ref="D42" si="1">D40+D41</f>
        <v>2040000</v>
      </c>
      <c r="F42" s="43"/>
      <c r="G42" s="1" t="s">
        <v>3</v>
      </c>
      <c r="H42" s="2">
        <f>H9</f>
        <v>0</v>
      </c>
      <c r="J42" s="2">
        <v>3600000</v>
      </c>
      <c r="K42" s="2">
        <v>6600000</v>
      </c>
      <c r="L42" s="7">
        <v>0.2</v>
      </c>
      <c r="M42" s="2">
        <v>540000</v>
      </c>
      <c r="N42" s="2">
        <f>IF(H37&gt;J42,IF(H37&lt;=K42,H37*L42+M42,0),0)</f>
        <v>0</v>
      </c>
    </row>
    <row r="43" spans="2:14" hidden="1">
      <c r="B43" s="44" t="s">
        <v>48</v>
      </c>
      <c r="C43" s="49"/>
      <c r="D43" s="17"/>
      <c r="F43" s="43"/>
      <c r="G43" s="1" t="s">
        <v>4</v>
      </c>
      <c r="H43" s="2">
        <f>H10</f>
        <v>100000</v>
      </c>
      <c r="J43" s="2">
        <v>6600000</v>
      </c>
      <c r="K43" s="2">
        <v>10000000</v>
      </c>
      <c r="L43" s="7">
        <v>0.1</v>
      </c>
      <c r="M43" s="2">
        <v>1200000</v>
      </c>
      <c r="N43" s="2">
        <f>IF(H37&gt;J43,IF(H37&lt;=K43,H37*L43+M43,0),0)</f>
        <v>2000000</v>
      </c>
    </row>
    <row r="44" spans="2:14" hidden="1">
      <c r="B44" s="44" t="s">
        <v>49</v>
      </c>
      <c r="C44" s="49"/>
      <c r="D44" s="17">
        <f>IF(D42&gt;0,D42-D43-D39,0)</f>
        <v>2040000</v>
      </c>
      <c r="F44" s="43"/>
      <c r="G44" s="1" t="s">
        <v>5</v>
      </c>
      <c r="H44" s="2">
        <f>H11</f>
        <v>0</v>
      </c>
      <c r="J44" s="2">
        <v>10000000</v>
      </c>
      <c r="K44" s="2"/>
      <c r="L44" s="7">
        <v>0.05</v>
      </c>
      <c r="M44" s="2">
        <v>1700000</v>
      </c>
      <c r="N44" s="2">
        <f>IF(H37&gt;J44,H37*L44+M44,0)</f>
        <v>0</v>
      </c>
    </row>
    <row r="45" spans="2:14" ht="14.25" hidden="1" thickBot="1">
      <c r="B45" s="44" t="s">
        <v>50</v>
      </c>
      <c r="C45" s="49"/>
      <c r="D45" s="18">
        <f>IF(D37&lt;0,D38-D37,IF(D38-D37&gt;0,D38-D37,0))</f>
        <v>0</v>
      </c>
      <c r="F45" s="43"/>
      <c r="G45" s="1" t="s">
        <v>6</v>
      </c>
      <c r="H45" s="2">
        <f>H12</f>
        <v>380000</v>
      </c>
      <c r="J45" s="57" t="s">
        <v>27</v>
      </c>
      <c r="K45" s="58"/>
      <c r="L45" s="58"/>
      <c r="M45" s="59"/>
      <c r="N45" s="2">
        <f>SUM(N39:N44)</f>
        <v>2000000</v>
      </c>
    </row>
    <row r="46" spans="2:14" ht="14.25" hidden="1" thickBot="1">
      <c r="B46" s="12"/>
      <c r="C46" s="12"/>
      <c r="D46" s="15"/>
      <c r="F46" s="43"/>
      <c r="G46" s="1" t="s">
        <v>7</v>
      </c>
      <c r="H46" s="2">
        <f>H13</f>
        <v>0</v>
      </c>
      <c r="J46" s="3"/>
      <c r="K46" s="3"/>
    </row>
    <row r="47" spans="2:14" hidden="1">
      <c r="B47" s="51" t="s">
        <v>51</v>
      </c>
      <c r="C47" s="22" t="s">
        <v>52</v>
      </c>
      <c r="D47" s="26">
        <f>D57</f>
        <v>374000</v>
      </c>
      <c r="F47" s="43"/>
      <c r="G47" s="1" t="s">
        <v>8</v>
      </c>
      <c r="H47" s="2">
        <f>H14</f>
        <v>0</v>
      </c>
      <c r="J47" s="56" t="s">
        <v>19</v>
      </c>
      <c r="K47" s="56"/>
      <c r="L47" s="56"/>
      <c r="M47" s="56"/>
    </row>
    <row r="48" spans="2:14" hidden="1">
      <c r="B48" s="51"/>
      <c r="C48" s="22" t="s">
        <v>53</v>
      </c>
      <c r="D48" s="27">
        <f>ROUNDDOWN(D42*0.173,-2)+70000</f>
        <v>422900</v>
      </c>
      <c r="F48" s="43"/>
      <c r="G48" s="1" t="s">
        <v>9</v>
      </c>
      <c r="H48" s="2">
        <v>380000</v>
      </c>
      <c r="J48" s="2" t="s">
        <v>20</v>
      </c>
      <c r="K48" s="2" t="s">
        <v>21</v>
      </c>
      <c r="L48" s="1" t="s">
        <v>15</v>
      </c>
      <c r="M48" s="1" t="s">
        <v>22</v>
      </c>
      <c r="N48" s="8" t="s">
        <v>18</v>
      </c>
    </row>
    <row r="49" spans="2:16" hidden="1">
      <c r="B49" s="51"/>
      <c r="C49" s="22" t="s">
        <v>54</v>
      </c>
      <c r="D49" s="27">
        <f>ROUNDDOWN(D57*81/100,-2)</f>
        <v>302900</v>
      </c>
      <c r="F49" s="43" t="s">
        <v>14</v>
      </c>
      <c r="G49" s="43"/>
      <c r="H49" s="2">
        <f>SUM(H41:H48)</f>
        <v>1321400</v>
      </c>
      <c r="J49" s="2"/>
      <c r="K49" s="2">
        <v>1950000</v>
      </c>
      <c r="L49" s="4">
        <v>0.05</v>
      </c>
      <c r="M49" s="2">
        <v>0</v>
      </c>
      <c r="N49" s="2">
        <f>IF(H51&lt;=K49,H51*L49,0)</f>
        <v>0</v>
      </c>
    </row>
    <row r="50" spans="2:16" ht="14.25" hidden="1" thickBot="1">
      <c r="B50" s="43" t="s">
        <v>55</v>
      </c>
      <c r="C50" s="41"/>
      <c r="D50" s="28">
        <v>0</v>
      </c>
      <c r="H50" s="3"/>
      <c r="J50" s="2">
        <v>1950000</v>
      </c>
      <c r="K50" s="2">
        <v>3300000</v>
      </c>
      <c r="L50" s="4">
        <v>0.1</v>
      </c>
      <c r="M50" s="2">
        <v>97500</v>
      </c>
      <c r="N50" s="2">
        <f>IF(H51&gt;J50,IF(H51&lt;=K50,H51*L50-M50,0),0)</f>
        <v>0</v>
      </c>
    </row>
    <row r="51" spans="2:16" ht="14.25" hidden="1" thickBot="1">
      <c r="B51" s="52" t="s">
        <v>56</v>
      </c>
      <c r="C51" s="53"/>
      <c r="D51" s="29">
        <f>D44+D47+D48+D49</f>
        <v>3139800</v>
      </c>
      <c r="F51" s="43" t="s">
        <v>23</v>
      </c>
      <c r="G51" s="43"/>
      <c r="H51" s="2">
        <f>ROUNDDOWN(IF(H39-H49&gt;0,H39-H49,0),-3)</f>
        <v>4678000</v>
      </c>
      <c r="J51" s="2">
        <v>3300000</v>
      </c>
      <c r="K51" s="2">
        <v>6950000</v>
      </c>
      <c r="L51" s="4">
        <v>0.2</v>
      </c>
      <c r="M51" s="2">
        <v>427500</v>
      </c>
      <c r="N51" s="2">
        <f>IF(H51&gt;J51,IF(H51&lt;=K51,H51*L51-M51,0),0)</f>
        <v>508100</v>
      </c>
    </row>
    <row r="52" spans="2:16" hidden="1">
      <c r="H52" s="3"/>
      <c r="J52" s="2">
        <v>6950000</v>
      </c>
      <c r="K52" s="2">
        <v>9000000</v>
      </c>
      <c r="L52" s="4">
        <v>0.23</v>
      </c>
      <c r="M52" s="2">
        <v>636000</v>
      </c>
      <c r="N52" s="2">
        <f>IF(H51&gt;J52,IF(H51&lt;=K52,H51*L52-M52,0),0)</f>
        <v>0</v>
      </c>
    </row>
    <row r="53" spans="2:16" hidden="1">
      <c r="B53" s="1" t="s">
        <v>57</v>
      </c>
      <c r="C53" s="1"/>
      <c r="D53" s="13">
        <f>D37-D38</f>
        <v>10000000</v>
      </c>
      <c r="F53" s="43" t="s">
        <v>10</v>
      </c>
      <c r="G53" s="43"/>
      <c r="H53" s="2">
        <f>N55</f>
        <v>508100</v>
      </c>
      <c r="J53" s="2">
        <v>9000000</v>
      </c>
      <c r="K53" s="2">
        <v>18000000</v>
      </c>
      <c r="L53" s="4">
        <v>0.33</v>
      </c>
      <c r="M53" s="2">
        <v>1536000</v>
      </c>
      <c r="N53" s="2">
        <f>IF(H51&gt;J53,IF(H51&lt;=K53,H51*L53-M53,0),0)</f>
        <v>0</v>
      </c>
    </row>
    <row r="54" spans="2:16" hidden="1">
      <c r="B54" s="1" t="s">
        <v>58</v>
      </c>
      <c r="C54" s="1">
        <v>2.7E-2</v>
      </c>
      <c r="D54" s="2">
        <f>IF(D53&gt;0,IF(D53&gt;4000000,108000,ROUNDDOWN(D53*C54,-2)),0)</f>
        <v>108000</v>
      </c>
      <c r="F54" s="43" t="s">
        <v>11</v>
      </c>
      <c r="G54" s="43"/>
      <c r="H54" s="2">
        <f>H51*0.1</f>
        <v>467800</v>
      </c>
      <c r="J54" s="2">
        <v>18000000</v>
      </c>
      <c r="K54" s="2"/>
      <c r="L54" s="4">
        <v>0.4</v>
      </c>
      <c r="M54" s="2">
        <v>2796000</v>
      </c>
      <c r="N54" s="2">
        <f>IF(H51&gt;J54,H51*L54-M54,0)</f>
        <v>0</v>
      </c>
    </row>
    <row r="55" spans="2:16" hidden="1">
      <c r="B55" s="1" t="s">
        <v>59</v>
      </c>
      <c r="C55" s="1">
        <v>0.04</v>
      </c>
      <c r="D55" s="2">
        <f>IF(D53&gt;4000000,IF(D53&lt;=8000000,ROUNDDOWN((D53-4000000)*C55,-2),160000),0)</f>
        <v>160000</v>
      </c>
      <c r="F55" s="43" t="s">
        <v>27</v>
      </c>
      <c r="G55" s="43"/>
      <c r="H55" s="2">
        <f>SUM(H53:H54)</f>
        <v>975900</v>
      </c>
      <c r="J55" s="41" t="s">
        <v>27</v>
      </c>
      <c r="K55" s="60"/>
      <c r="L55" s="60"/>
      <c r="M55" s="42"/>
      <c r="N55" s="2">
        <f>SUM(N49:N54)</f>
        <v>508100</v>
      </c>
    </row>
    <row r="56" spans="2:16" hidden="1">
      <c r="B56" s="1" t="s">
        <v>60</v>
      </c>
      <c r="C56" s="1">
        <v>5.2999999999999999E-2</v>
      </c>
      <c r="D56" s="2">
        <f>IF(D53&gt;8000000,ROUNDDOWN((D53-8000000)*C56,-2),0)</f>
        <v>106000</v>
      </c>
      <c r="H56" s="3"/>
      <c r="L56" s="3"/>
      <c r="M56" s="3"/>
    </row>
    <row r="57" spans="2:16" hidden="1">
      <c r="B57" s="14" t="s">
        <v>61</v>
      </c>
      <c r="C57" s="14"/>
      <c r="D57" s="13">
        <f>SUM(D54:D56)</f>
        <v>374000</v>
      </c>
      <c r="F57" s="43" t="s">
        <v>32</v>
      </c>
      <c r="G57" s="1" t="s">
        <v>12</v>
      </c>
      <c r="H57" s="2">
        <f>IF(H39&gt;0,IF(H39*L58+M58*N58&gt;O58,O58,H39*L58+M58*N58),0)</f>
        <v>461400</v>
      </c>
      <c r="J57" s="14"/>
      <c r="K57" s="14" t="s">
        <v>34</v>
      </c>
      <c r="L57" s="19" t="s">
        <v>35</v>
      </c>
      <c r="M57" s="19" t="s">
        <v>36</v>
      </c>
      <c r="N57" s="14" t="s">
        <v>38</v>
      </c>
      <c r="O57" s="14" t="s">
        <v>37</v>
      </c>
      <c r="P57" s="14" t="s">
        <v>68</v>
      </c>
    </row>
    <row r="58" spans="2:16" hidden="1">
      <c r="B58" s="54" t="s">
        <v>62</v>
      </c>
      <c r="C58" s="55"/>
      <c r="D58" s="1"/>
      <c r="F58" s="43"/>
      <c r="G58" s="1" t="s">
        <v>31</v>
      </c>
      <c r="H58" s="2">
        <f>IF(H37&gt;0,180240*P58,0)</f>
        <v>360480</v>
      </c>
      <c r="J58" s="14" t="s">
        <v>30</v>
      </c>
      <c r="K58" s="14" t="s">
        <v>33</v>
      </c>
      <c r="L58" s="20">
        <v>6.13E-2</v>
      </c>
      <c r="M58" s="19">
        <v>31200</v>
      </c>
      <c r="N58" s="14">
        <f>H23+1</f>
        <v>3</v>
      </c>
      <c r="O58" s="19">
        <v>510000</v>
      </c>
      <c r="P58" s="14">
        <f>H24</f>
        <v>2</v>
      </c>
    </row>
    <row r="59" spans="2:16" hidden="1">
      <c r="B59" s="54" t="s">
        <v>63</v>
      </c>
      <c r="C59" s="55"/>
      <c r="D59" s="1"/>
      <c r="H59" s="3"/>
      <c r="J59" s="14"/>
      <c r="K59" s="14"/>
      <c r="L59" s="19"/>
      <c r="M59" s="19"/>
      <c r="N59" s="14"/>
      <c r="O59" s="14"/>
      <c r="P59" s="14"/>
    </row>
    <row r="60" spans="2:16" hidden="1">
      <c r="B60" s="54" t="s">
        <v>64</v>
      </c>
      <c r="C60" s="55"/>
      <c r="D60" s="1"/>
      <c r="F60" s="48" t="s">
        <v>29</v>
      </c>
      <c r="G60" s="1" t="s">
        <v>12</v>
      </c>
      <c r="H60" s="2">
        <f>H37*K64/2</f>
        <v>372800</v>
      </c>
      <c r="L60" s="3"/>
      <c r="M60" s="3"/>
    </row>
    <row r="61" spans="2:16" hidden="1">
      <c r="F61" s="43"/>
      <c r="G61" s="1" t="s">
        <v>13</v>
      </c>
      <c r="H61" s="2">
        <f>H37*K63/2</f>
        <v>642320</v>
      </c>
      <c r="J61" s="9" t="s">
        <v>39</v>
      </c>
      <c r="K61" s="9"/>
      <c r="L61" s="6"/>
      <c r="M61" s="6"/>
      <c r="N61" s="9"/>
      <c r="O61" s="9"/>
    </row>
    <row r="62" spans="2:16" hidden="1">
      <c r="F62" s="48" t="s">
        <v>28</v>
      </c>
      <c r="G62" s="1" t="s">
        <v>12</v>
      </c>
      <c r="H62" s="2">
        <f>H37*K64/2</f>
        <v>372800</v>
      </c>
      <c r="J62" s="14"/>
      <c r="K62" s="14" t="s">
        <v>30</v>
      </c>
      <c r="L62" s="6"/>
      <c r="M62" s="6"/>
      <c r="N62" s="9"/>
      <c r="O62" s="9"/>
    </row>
    <row r="63" spans="2:16" hidden="1">
      <c r="F63" s="43"/>
      <c r="G63" s="1" t="s">
        <v>13</v>
      </c>
      <c r="H63" s="2">
        <f>H37*K63/2</f>
        <v>642320</v>
      </c>
      <c r="J63" s="14" t="s">
        <v>40</v>
      </c>
      <c r="K63" s="21">
        <v>0.16058</v>
      </c>
      <c r="L63" s="10"/>
      <c r="M63" s="6"/>
      <c r="N63" s="9"/>
      <c r="O63" s="6"/>
    </row>
    <row r="64" spans="2:16" hidden="1">
      <c r="F64" s="43" t="s">
        <v>27</v>
      </c>
      <c r="G64" s="43"/>
      <c r="H64" s="2">
        <f>SUM(H60:H63)</f>
        <v>2030240</v>
      </c>
      <c r="J64" s="14" t="s">
        <v>12</v>
      </c>
      <c r="K64" s="20">
        <v>9.3200000000000005E-2</v>
      </c>
      <c r="L64" s="6"/>
      <c r="M64" s="6"/>
      <c r="N64" s="9"/>
      <c r="O64" s="9"/>
    </row>
    <row r="65" spans="6:14" hidden="1">
      <c r="H65" s="3"/>
      <c r="J65" s="14" t="s">
        <v>41</v>
      </c>
      <c r="K65" s="20">
        <v>1.4999999999999999E-2</v>
      </c>
      <c r="L65" s="3"/>
      <c r="M65" s="3"/>
    </row>
    <row r="66" spans="6:14" hidden="1"/>
    <row r="67" spans="6:14" hidden="1"/>
    <row r="68" spans="6:14" hidden="1">
      <c r="F68" t="s">
        <v>71</v>
      </c>
      <c r="H68" s="3"/>
      <c r="L68" s="3"/>
      <c r="M68" s="3"/>
    </row>
    <row r="69" spans="6:14" hidden="1">
      <c r="F69" s="43" t="s">
        <v>24</v>
      </c>
      <c r="G69" s="43"/>
      <c r="H69" s="2">
        <f>I6</f>
        <v>6000000</v>
      </c>
      <c r="J69" s="56" t="s">
        <v>17</v>
      </c>
      <c r="K69" s="56"/>
      <c r="L69" s="56"/>
      <c r="M69" s="56"/>
      <c r="N69" s="56"/>
    </row>
    <row r="70" spans="6:14" hidden="1">
      <c r="F70" s="5"/>
      <c r="G70" s="5"/>
      <c r="H70" s="6"/>
      <c r="J70" s="2" t="s">
        <v>20</v>
      </c>
      <c r="K70" s="2" t="s">
        <v>21</v>
      </c>
      <c r="L70" s="1" t="s">
        <v>16</v>
      </c>
      <c r="M70" s="1" t="s">
        <v>1</v>
      </c>
      <c r="N70" s="1" t="s">
        <v>26</v>
      </c>
    </row>
    <row r="71" spans="6:14" hidden="1">
      <c r="F71" s="43" t="s">
        <v>25</v>
      </c>
      <c r="G71" s="43"/>
      <c r="H71" s="2">
        <f>IF(H69-N77&gt;0,H69-N77,0)</f>
        <v>4260000</v>
      </c>
      <c r="J71" s="2"/>
      <c r="K71" s="2">
        <v>1625000</v>
      </c>
      <c r="L71" s="7"/>
      <c r="M71" s="2">
        <v>650000</v>
      </c>
      <c r="N71" s="2">
        <f>IF(H69&lt;=K71,M71,0)</f>
        <v>0</v>
      </c>
    </row>
    <row r="72" spans="6:14" hidden="1">
      <c r="H72" s="3"/>
      <c r="J72" s="2">
        <v>1625000</v>
      </c>
      <c r="K72" s="2">
        <v>1800000</v>
      </c>
      <c r="L72" s="7">
        <v>0.4</v>
      </c>
      <c r="M72" s="1">
        <v>0</v>
      </c>
      <c r="N72" s="2">
        <f>IF(H69&gt;J72,IF(H69&lt;=K72,H69*L72,0),0)</f>
        <v>0</v>
      </c>
    </row>
    <row r="73" spans="6:14" hidden="1">
      <c r="F73" s="43" t="s">
        <v>1</v>
      </c>
      <c r="G73" s="1" t="s">
        <v>2</v>
      </c>
      <c r="H73" s="2">
        <f>I8</f>
        <v>354738</v>
      </c>
      <c r="J73" s="2">
        <v>1800000</v>
      </c>
      <c r="K73" s="2">
        <v>3600000</v>
      </c>
      <c r="L73" s="7">
        <v>0.3</v>
      </c>
      <c r="M73" s="2">
        <v>180000</v>
      </c>
      <c r="N73" s="2">
        <f>IF(H69&gt;J73,IF(H69&lt;=K73,H69*L73+M73,0),0)</f>
        <v>0</v>
      </c>
    </row>
    <row r="74" spans="6:14" hidden="1">
      <c r="F74" s="43"/>
      <c r="G74" s="1" t="s">
        <v>3</v>
      </c>
      <c r="H74" s="2">
        <f>I9</f>
        <v>0</v>
      </c>
      <c r="J74" s="2">
        <v>3600000</v>
      </c>
      <c r="K74" s="2">
        <v>6600000</v>
      </c>
      <c r="L74" s="7">
        <v>0.2</v>
      </c>
      <c r="M74" s="2">
        <v>540000</v>
      </c>
      <c r="N74" s="2">
        <f>IF(H69&gt;J74,IF(H69&lt;=K74,H69*L74+M74,0),0)</f>
        <v>1740000</v>
      </c>
    </row>
    <row r="75" spans="6:14" hidden="1">
      <c r="F75" s="43"/>
      <c r="G75" s="1" t="s">
        <v>4</v>
      </c>
      <c r="H75" s="2">
        <f>I10</f>
        <v>100000</v>
      </c>
      <c r="J75" s="2">
        <v>6600000</v>
      </c>
      <c r="K75" s="2">
        <v>10000000</v>
      </c>
      <c r="L75" s="7">
        <v>0.1</v>
      </c>
      <c r="M75" s="2">
        <v>1200000</v>
      </c>
      <c r="N75" s="2">
        <f>IF(H69&gt;J75,IF(H69&lt;=K75,H69*L75+M75,0),0)</f>
        <v>0</v>
      </c>
    </row>
    <row r="76" spans="6:14" hidden="1">
      <c r="F76" s="43"/>
      <c r="G76" s="1" t="s">
        <v>5</v>
      </c>
      <c r="H76" s="2">
        <f>I11</f>
        <v>0</v>
      </c>
      <c r="J76" s="2">
        <v>10000000</v>
      </c>
      <c r="K76" s="2"/>
      <c r="L76" s="7">
        <v>0.05</v>
      </c>
      <c r="M76" s="2">
        <v>1700000</v>
      </c>
      <c r="N76" s="2">
        <f>IF(H69&gt;J76,H69*L76+M76,0)</f>
        <v>0</v>
      </c>
    </row>
    <row r="77" spans="6:14" hidden="1">
      <c r="F77" s="43"/>
      <c r="G77" s="1" t="s">
        <v>6</v>
      </c>
      <c r="H77" s="2">
        <f>I12</f>
        <v>380000</v>
      </c>
      <c r="J77" s="57" t="s">
        <v>27</v>
      </c>
      <c r="K77" s="58"/>
      <c r="L77" s="58"/>
      <c r="M77" s="59"/>
      <c r="N77" s="2">
        <f>SUM(N71:N76)</f>
        <v>1740000</v>
      </c>
    </row>
    <row r="78" spans="6:14" hidden="1">
      <c r="F78" s="43"/>
      <c r="G78" s="1" t="s">
        <v>7</v>
      </c>
      <c r="H78" s="2">
        <f>I13</f>
        <v>0</v>
      </c>
      <c r="J78" s="3"/>
      <c r="K78" s="3"/>
    </row>
    <row r="79" spans="6:14" hidden="1">
      <c r="F79" s="43"/>
      <c r="G79" s="1" t="s">
        <v>8</v>
      </c>
      <c r="H79" s="2">
        <f>I14</f>
        <v>0</v>
      </c>
      <c r="J79" s="56" t="s">
        <v>19</v>
      </c>
      <c r="K79" s="56"/>
      <c r="L79" s="56"/>
      <c r="M79" s="56"/>
    </row>
    <row r="80" spans="6:14" hidden="1">
      <c r="F80" s="43"/>
      <c r="G80" s="1" t="s">
        <v>9</v>
      </c>
      <c r="H80" s="2">
        <v>380000</v>
      </c>
      <c r="J80" s="2" t="s">
        <v>20</v>
      </c>
      <c r="K80" s="2" t="s">
        <v>21</v>
      </c>
      <c r="L80" s="1" t="s">
        <v>15</v>
      </c>
      <c r="M80" s="1" t="s">
        <v>22</v>
      </c>
      <c r="N80" s="8" t="s">
        <v>18</v>
      </c>
    </row>
    <row r="81" spans="6:16" hidden="1">
      <c r="F81" s="43" t="s">
        <v>14</v>
      </c>
      <c r="G81" s="43"/>
      <c r="H81" s="2">
        <f>SUM(H73:H80)</f>
        <v>1214738</v>
      </c>
      <c r="J81" s="2"/>
      <c r="K81" s="2">
        <v>1950000</v>
      </c>
      <c r="L81" s="4">
        <v>0.05</v>
      </c>
      <c r="M81" s="2">
        <v>0</v>
      </c>
      <c r="N81" s="2">
        <f>IF(H83&lt;=K81,H83*L81,0)</f>
        <v>0</v>
      </c>
    </row>
    <row r="82" spans="6:16" hidden="1">
      <c r="H82" s="3"/>
      <c r="J82" s="2">
        <v>1950000</v>
      </c>
      <c r="K82" s="2">
        <v>3300000</v>
      </c>
      <c r="L82" s="4">
        <v>0.1</v>
      </c>
      <c r="M82" s="2">
        <v>97500</v>
      </c>
      <c r="N82" s="2">
        <f>IF(H83&gt;J82,IF(H83&lt;=K82,H83*L82-M82,0),0)</f>
        <v>207000</v>
      </c>
    </row>
    <row r="83" spans="6:16" hidden="1">
      <c r="F83" s="43" t="s">
        <v>23</v>
      </c>
      <c r="G83" s="43"/>
      <c r="H83" s="2">
        <f>ROUNDDOWN(IF(H71-H81&gt;0,H71-H81,0),-3)</f>
        <v>3045000</v>
      </c>
      <c r="J83" s="2">
        <v>3300000</v>
      </c>
      <c r="K83" s="2">
        <v>6950000</v>
      </c>
      <c r="L83" s="4">
        <v>0.2</v>
      </c>
      <c r="M83" s="2">
        <v>427500</v>
      </c>
      <c r="N83" s="2">
        <f>IF(H83&gt;J83,IF(H83&lt;=K83,H83*L83-M83,0),0)</f>
        <v>0</v>
      </c>
    </row>
    <row r="84" spans="6:16" hidden="1">
      <c r="H84" s="3"/>
      <c r="J84" s="2">
        <v>6950000</v>
      </c>
      <c r="K84" s="2">
        <v>9000000</v>
      </c>
      <c r="L84" s="4">
        <v>0.23</v>
      </c>
      <c r="M84" s="2">
        <v>636000</v>
      </c>
      <c r="N84" s="2">
        <f>IF(H83&gt;J84,IF(H83&lt;=K84,H83*L84-M84,0),0)</f>
        <v>0</v>
      </c>
    </row>
    <row r="85" spans="6:16" hidden="1">
      <c r="F85" s="43" t="s">
        <v>10</v>
      </c>
      <c r="G85" s="43"/>
      <c r="H85" s="2">
        <f>N87</f>
        <v>207000</v>
      </c>
      <c r="J85" s="2">
        <v>9000000</v>
      </c>
      <c r="K85" s="2">
        <v>18000000</v>
      </c>
      <c r="L85" s="4">
        <v>0.33</v>
      </c>
      <c r="M85" s="2">
        <v>1536000</v>
      </c>
      <c r="N85" s="2">
        <f>IF(H83&gt;J85,IF(H83&lt;=K85,H83*L85-M85,0),0)</f>
        <v>0</v>
      </c>
    </row>
    <row r="86" spans="6:16" hidden="1">
      <c r="F86" s="43" t="s">
        <v>11</v>
      </c>
      <c r="G86" s="43"/>
      <c r="H86" s="2">
        <f>H83*0.1</f>
        <v>304500</v>
      </c>
      <c r="J86" s="2">
        <v>18000000</v>
      </c>
      <c r="K86" s="2"/>
      <c r="L86" s="4">
        <v>0.4</v>
      </c>
      <c r="M86" s="2">
        <v>2796000</v>
      </c>
      <c r="N86" s="2">
        <f>IF(H83&gt;J86,H83*L86-M86,0)</f>
        <v>0</v>
      </c>
    </row>
    <row r="87" spans="6:16" hidden="1">
      <c r="F87" s="43" t="s">
        <v>27</v>
      </c>
      <c r="G87" s="43"/>
      <c r="H87" s="2">
        <f>SUM(H85:H86)</f>
        <v>511500</v>
      </c>
      <c r="J87" s="41" t="s">
        <v>27</v>
      </c>
      <c r="K87" s="60"/>
      <c r="L87" s="60"/>
      <c r="M87" s="42"/>
      <c r="N87" s="2">
        <f>SUM(N81:N86)</f>
        <v>207000</v>
      </c>
    </row>
    <row r="88" spans="6:16" hidden="1">
      <c r="H88" s="3"/>
      <c r="L88" s="3"/>
      <c r="M88" s="3"/>
    </row>
    <row r="89" spans="6:16" hidden="1">
      <c r="F89" s="43" t="s">
        <v>32</v>
      </c>
      <c r="G89" s="1" t="s">
        <v>12</v>
      </c>
      <c r="H89" s="2">
        <f>IF(H71&gt;0,IF(H71*L90+M90*N90&gt;O90,O90,H71*L90+M90*N90),0)</f>
        <v>354738</v>
      </c>
      <c r="J89" s="14"/>
      <c r="K89" s="14" t="s">
        <v>34</v>
      </c>
      <c r="L89" s="19" t="s">
        <v>35</v>
      </c>
      <c r="M89" s="19" t="s">
        <v>36</v>
      </c>
      <c r="N89" s="14" t="s">
        <v>38</v>
      </c>
      <c r="O89" s="14" t="s">
        <v>37</v>
      </c>
      <c r="P89" s="14" t="s">
        <v>68</v>
      </c>
    </row>
    <row r="90" spans="6:16" hidden="1">
      <c r="F90" s="43"/>
      <c r="G90" s="1" t="s">
        <v>31</v>
      </c>
      <c r="H90" s="2">
        <f>IF(H69&gt;0,180240*P90,0)</f>
        <v>360480</v>
      </c>
      <c r="J90" s="14" t="s">
        <v>30</v>
      </c>
      <c r="K90" s="14" t="s">
        <v>33</v>
      </c>
      <c r="L90" s="20">
        <v>6.13E-2</v>
      </c>
      <c r="M90" s="19">
        <v>31200</v>
      </c>
      <c r="N90" s="14">
        <f>I23+1</f>
        <v>3</v>
      </c>
      <c r="O90" s="19">
        <v>510000</v>
      </c>
      <c r="P90" s="14">
        <f>I24</f>
        <v>2</v>
      </c>
    </row>
    <row r="91" spans="6:16" hidden="1">
      <c r="H91" s="3"/>
      <c r="J91" s="14"/>
      <c r="K91" s="14"/>
      <c r="L91" s="19"/>
      <c r="M91" s="19"/>
      <c r="N91" s="14"/>
      <c r="O91" s="14"/>
      <c r="P91" s="14"/>
    </row>
    <row r="92" spans="6:16" hidden="1">
      <c r="F92" s="48" t="s">
        <v>29</v>
      </c>
      <c r="G92" s="1" t="s">
        <v>12</v>
      </c>
      <c r="H92" s="2">
        <f>H69*K96/2</f>
        <v>279600</v>
      </c>
      <c r="L92" s="3"/>
      <c r="M92" s="3"/>
    </row>
    <row r="93" spans="6:16" hidden="1">
      <c r="F93" s="43"/>
      <c r="G93" s="1" t="s">
        <v>13</v>
      </c>
      <c r="H93" s="2">
        <f>H69*K95/2</f>
        <v>481740</v>
      </c>
      <c r="J93" s="9" t="s">
        <v>39</v>
      </c>
      <c r="K93" s="9"/>
      <c r="L93" s="6"/>
      <c r="M93" s="6"/>
      <c r="N93" s="9"/>
      <c r="O93" s="9"/>
    </row>
    <row r="94" spans="6:16" hidden="1">
      <c r="F94" s="48" t="s">
        <v>28</v>
      </c>
      <c r="G94" s="1" t="s">
        <v>12</v>
      </c>
      <c r="H94" s="2">
        <f>H69*K96/2</f>
        <v>279600</v>
      </c>
      <c r="J94" s="14"/>
      <c r="K94" s="14" t="s">
        <v>30</v>
      </c>
      <c r="L94" s="6"/>
      <c r="M94" s="6"/>
      <c r="N94" s="9"/>
      <c r="O94" s="9"/>
    </row>
    <row r="95" spans="6:16" hidden="1">
      <c r="F95" s="43"/>
      <c r="G95" s="1" t="s">
        <v>13</v>
      </c>
      <c r="H95" s="2">
        <f>H69*K95/2</f>
        <v>481740</v>
      </c>
      <c r="J95" s="14" t="s">
        <v>40</v>
      </c>
      <c r="K95" s="21">
        <v>0.16058</v>
      </c>
      <c r="L95" s="10"/>
      <c r="M95" s="6"/>
      <c r="N95" s="9"/>
      <c r="O95" s="6"/>
    </row>
    <row r="96" spans="6:16" hidden="1">
      <c r="F96" s="43" t="s">
        <v>27</v>
      </c>
      <c r="G96" s="43"/>
      <c r="H96" s="2">
        <f>SUM(H92:H95)</f>
        <v>1522680</v>
      </c>
      <c r="J96" s="14" t="s">
        <v>12</v>
      </c>
      <c r="K96" s="20">
        <v>9.3200000000000005E-2</v>
      </c>
      <c r="L96" s="6"/>
      <c r="M96" s="6"/>
      <c r="N96" s="9"/>
      <c r="O96" s="9"/>
    </row>
    <row r="97" spans="8:13" hidden="1">
      <c r="H97" s="3"/>
      <c r="J97" s="14" t="s">
        <v>41</v>
      </c>
      <c r="K97" s="20">
        <v>1.4999999999999999E-2</v>
      </c>
      <c r="L97" s="3"/>
      <c r="M97" s="3"/>
    </row>
    <row r="98" spans="8:13" hidden="1">
      <c r="H98" s="3"/>
      <c r="L98" s="3"/>
      <c r="M98" s="3"/>
    </row>
  </sheetData>
  <sheetProtection password="CA68" sheet="1" objects="1" scenarios="1" selectLockedCells="1"/>
  <mergeCells count="67">
    <mergeCell ref="F31:G31"/>
    <mergeCell ref="F29:F30"/>
    <mergeCell ref="F28:H28"/>
    <mergeCell ref="J87:M87"/>
    <mergeCell ref="F89:F90"/>
    <mergeCell ref="F92:F93"/>
    <mergeCell ref="F94:F95"/>
    <mergeCell ref="F96:G96"/>
    <mergeCell ref="F81:G81"/>
    <mergeCell ref="F83:G83"/>
    <mergeCell ref="F85:G85"/>
    <mergeCell ref="F86:G86"/>
    <mergeCell ref="F87:G87"/>
    <mergeCell ref="F69:G69"/>
    <mergeCell ref="J69:N69"/>
    <mergeCell ref="F71:G71"/>
    <mergeCell ref="F73:F80"/>
    <mergeCell ref="J77:M77"/>
    <mergeCell ref="J79:M79"/>
    <mergeCell ref="J55:M55"/>
    <mergeCell ref="F57:F58"/>
    <mergeCell ref="F60:F61"/>
    <mergeCell ref="F62:F63"/>
    <mergeCell ref="F64:G64"/>
    <mergeCell ref="F49:G49"/>
    <mergeCell ref="F51:G51"/>
    <mergeCell ref="F53:G53"/>
    <mergeCell ref="F54:G54"/>
    <mergeCell ref="F55:G55"/>
    <mergeCell ref="F37:G37"/>
    <mergeCell ref="J37:N37"/>
    <mergeCell ref="F39:G39"/>
    <mergeCell ref="F41:F48"/>
    <mergeCell ref="J45:M45"/>
    <mergeCell ref="J47:M47"/>
    <mergeCell ref="B50:C50"/>
    <mergeCell ref="B51:C51"/>
    <mergeCell ref="B58:C58"/>
    <mergeCell ref="B59:C59"/>
    <mergeCell ref="B60:C60"/>
    <mergeCell ref="B42:C42"/>
    <mergeCell ref="B43:C43"/>
    <mergeCell ref="B44:C44"/>
    <mergeCell ref="B45:C45"/>
    <mergeCell ref="B47:B49"/>
    <mergeCell ref="B37:C37"/>
    <mergeCell ref="B38:C38"/>
    <mergeCell ref="B39:C39"/>
    <mergeCell ref="B40:C40"/>
    <mergeCell ref="B41:C41"/>
    <mergeCell ref="B36:C36"/>
    <mergeCell ref="B2:K3"/>
    <mergeCell ref="J23:J24"/>
    <mergeCell ref="F27:G27"/>
    <mergeCell ref="F5:G5"/>
    <mergeCell ref="F6:G6"/>
    <mergeCell ref="B5:C5"/>
    <mergeCell ref="B6:C6"/>
    <mergeCell ref="B7:C7"/>
    <mergeCell ref="B8:C8"/>
    <mergeCell ref="B9:C9"/>
    <mergeCell ref="F8:F15"/>
    <mergeCell ref="F16:G16"/>
    <mergeCell ref="F23:F26"/>
    <mergeCell ref="F20:G20"/>
    <mergeCell ref="F19:G19"/>
    <mergeCell ref="F18:G18"/>
  </mergeCells>
  <phoneticPr fontId="2"/>
  <pageMargins left="0.70866141732283472" right="0.70866141732283472" top="0.74803149606299213" bottom="0.74803149606299213" header="0.31496062992125984" footer="0.31496062992125984"/>
  <pageSetup paperSize="9" scale="120" orientation="landscape" horizontalDpi="4294967294" verticalDpi="0" r:id="rId1"/>
  <headerFooter>
    <oddHeader>&amp;C&amp;14予測くん　役員報酬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角嶋　徹</dc:creator>
  <cp:lastModifiedBy>角嶋　徹</cp:lastModifiedBy>
  <cp:lastPrinted>2011-06-06T10:07:46Z</cp:lastPrinted>
  <dcterms:created xsi:type="dcterms:W3CDTF">2011-05-26T06:30:40Z</dcterms:created>
  <dcterms:modified xsi:type="dcterms:W3CDTF">2011-06-06T10:07:53Z</dcterms:modified>
</cp:coreProperties>
</file>